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motiondesign/Downloads/"/>
    </mc:Choice>
  </mc:AlternateContent>
  <xr:revisionPtr revIDLastSave="0" documentId="13_ncr:1_{B413AC2B-E8B9-454A-A587-B861FF3E5695}" xr6:coauthVersionLast="31" xr6:coauthVersionMax="31" xr10:uidLastSave="{00000000-0000-0000-0000-000000000000}"/>
  <bookViews>
    <workbookView xWindow="5680" yWindow="2520" windowWidth="25500" windowHeight="18120" activeTab="1" xr2:uid="{00000000-000D-0000-FFFF-FFFF00000000}"/>
  </bookViews>
  <sheets>
    <sheet name="1. Fixture Inputs" sheetId="5" r:id="rId1"/>
    <sheet name="2. Proposal" sheetId="6" r:id="rId2"/>
    <sheet name="Savings Detail" sheetId="1" state="hidden" r:id="rId3"/>
    <sheet name="Cost of Ownership" sheetId="4" state="hidden" r:id="rId4"/>
    <sheet name="Environmental" sheetId="2" state="hidden" r:id="rId5"/>
  </sheets>
  <calcPr calcId="179017"/>
</workbook>
</file>

<file path=xl/calcChain.xml><?xml version="1.0" encoding="utf-8"?>
<calcChain xmlns="http://schemas.openxmlformats.org/spreadsheetml/2006/main">
  <c r="C7" i="4" l="1"/>
  <c r="K8" i="5"/>
  <c r="J9" i="5"/>
  <c r="J10" i="5" s="1"/>
  <c r="J11" i="5" l="1"/>
  <c r="K10" i="5"/>
  <c r="K9" i="5"/>
  <c r="J12" i="5" l="1"/>
  <c r="K11" i="5"/>
  <c r="J13" i="5" l="1"/>
  <c r="K12" i="5"/>
  <c r="J14" i="5" l="1"/>
  <c r="K13" i="5"/>
  <c r="J15" i="5" l="1"/>
  <c r="K14" i="5"/>
  <c r="J16" i="5" l="1"/>
  <c r="K15" i="5"/>
  <c r="J17" i="5" l="1"/>
  <c r="K16" i="5"/>
  <c r="J18" i="5" l="1"/>
  <c r="K17" i="5"/>
  <c r="J19" i="5" l="1"/>
  <c r="K18" i="5"/>
  <c r="K23" i="5" s="1"/>
  <c r="J20" i="5" l="1"/>
  <c r="K19" i="5"/>
  <c r="B5" i="1"/>
  <c r="B4" i="1"/>
  <c r="B3" i="1"/>
  <c r="H9" i="5"/>
  <c r="H10" i="5" s="1"/>
  <c r="P9" i="5"/>
  <c r="F9" i="5"/>
  <c r="F10" i="5" s="1"/>
  <c r="R9" i="5"/>
  <c r="R10" i="5" s="1"/>
  <c r="R11" i="5" s="1"/>
  <c r="O22" i="5"/>
  <c r="O21" i="5"/>
  <c r="O10" i="5"/>
  <c r="E9" i="5"/>
  <c r="I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I8" i="5"/>
  <c r="G8" i="5"/>
  <c r="E8" i="5"/>
  <c r="B24" i="5"/>
  <c r="J24" i="5" s="1"/>
  <c r="B7" i="4" s="1"/>
  <c r="L9" i="5"/>
  <c r="U9" i="5" s="1"/>
  <c r="L10" i="5"/>
  <c r="U10" i="5" s="1"/>
  <c r="L11" i="5"/>
  <c r="U11" i="5" s="1"/>
  <c r="L12" i="5"/>
  <c r="U12" i="5" s="1"/>
  <c r="L13" i="5"/>
  <c r="U13" i="5" s="1"/>
  <c r="L14" i="5"/>
  <c r="O14" i="5" s="1"/>
  <c r="L15" i="5"/>
  <c r="U15" i="5" s="1"/>
  <c r="L16" i="5"/>
  <c r="U16" i="5" s="1"/>
  <c r="L17" i="5"/>
  <c r="U17" i="5" s="1"/>
  <c r="L18" i="5"/>
  <c r="U18" i="5" s="1"/>
  <c r="L19" i="5"/>
  <c r="U19" i="5" s="1"/>
  <c r="L20" i="5"/>
  <c r="U20" i="5" s="1"/>
  <c r="L21" i="5"/>
  <c r="U21" i="5" s="1"/>
  <c r="L22" i="5"/>
  <c r="U22" i="5" s="1"/>
  <c r="L8" i="5"/>
  <c r="O8" i="5" s="1"/>
  <c r="O18" i="5" l="1"/>
  <c r="U14" i="5"/>
  <c r="O13" i="5"/>
  <c r="O17" i="5"/>
  <c r="Q9" i="5"/>
  <c r="U8" i="5"/>
  <c r="U25" i="5" s="1"/>
  <c r="G9" i="5"/>
  <c r="F11" i="5"/>
  <c r="G10" i="5"/>
  <c r="Q8" i="5"/>
  <c r="P10" i="5"/>
  <c r="S8" i="5"/>
  <c r="O11" i="5"/>
  <c r="O15" i="5"/>
  <c r="O19" i="5"/>
  <c r="O9" i="5"/>
  <c r="O23" i="5" s="1"/>
  <c r="O12" i="5"/>
  <c r="O16" i="5"/>
  <c r="O20" i="5"/>
  <c r="J21" i="5"/>
  <c r="K20" i="5"/>
  <c r="E23" i="5"/>
  <c r="D24" i="5" s="1"/>
  <c r="D7" i="4" s="1"/>
  <c r="C8" i="1"/>
  <c r="I10" i="5"/>
  <c r="H11" i="5"/>
  <c r="S9" i="5"/>
  <c r="R12" i="5"/>
  <c r="S11" i="5"/>
  <c r="S10" i="5"/>
  <c r="L24" i="5"/>
  <c r="B30" i="6" s="1"/>
  <c r="E8" i="1" l="1"/>
  <c r="P11" i="5"/>
  <c r="Q10" i="5"/>
  <c r="G11" i="5"/>
  <c r="F12" i="5"/>
  <c r="J22" i="5"/>
  <c r="K22" i="5" s="1"/>
  <c r="K21" i="5"/>
  <c r="N24" i="5"/>
  <c r="G8" i="1" s="1"/>
  <c r="N14" i="1"/>
  <c r="B9" i="4"/>
  <c r="Y9" i="4"/>
  <c r="S7" i="4"/>
  <c r="H8" i="1"/>
  <c r="I8" i="1" s="1"/>
  <c r="I11" i="5"/>
  <c r="H12" i="5"/>
  <c r="R13" i="5"/>
  <c r="S12" i="5"/>
  <c r="G12" i="5" l="1"/>
  <c r="F13" i="5"/>
  <c r="Q11" i="5"/>
  <c r="P12" i="5"/>
  <c r="D9" i="4"/>
  <c r="H13" i="5"/>
  <c r="I12" i="5"/>
  <c r="K8" i="1"/>
  <c r="B4" i="2"/>
  <c r="F16" i="1"/>
  <c r="F14" i="1"/>
  <c r="B28" i="6" s="1"/>
  <c r="S13" i="5"/>
  <c r="R14" i="5"/>
  <c r="J8" i="1"/>
  <c r="B17" i="6" s="1"/>
  <c r="V10" i="4"/>
  <c r="Q3" i="4"/>
  <c r="P13" i="5" l="1"/>
  <c r="Q12" i="5"/>
  <c r="F14" i="5"/>
  <c r="G13" i="5"/>
  <c r="H14" i="5"/>
  <c r="I13" i="5"/>
  <c r="R15" i="5"/>
  <c r="S14" i="5"/>
  <c r="F15" i="5" l="1"/>
  <c r="G14" i="5"/>
  <c r="P14" i="5"/>
  <c r="Q13" i="5"/>
  <c r="H15" i="5"/>
  <c r="I14" i="5"/>
  <c r="R16" i="5"/>
  <c r="S15" i="5"/>
  <c r="Q2" i="4"/>
  <c r="Q1" i="4"/>
  <c r="H9" i="4" s="1"/>
  <c r="I9" i="4" s="1"/>
  <c r="F10" i="4"/>
  <c r="P15" i="5" l="1"/>
  <c r="Q14" i="5"/>
  <c r="G15" i="5"/>
  <c r="F16" i="5"/>
  <c r="I15" i="5"/>
  <c r="H16" i="5"/>
  <c r="R17" i="5"/>
  <c r="S16" i="5"/>
  <c r="H7" i="4"/>
  <c r="I7" i="4" s="1"/>
  <c r="J10" i="4"/>
  <c r="H10" i="4"/>
  <c r="I10" i="4" s="1"/>
  <c r="G16" i="5" l="1"/>
  <c r="F17" i="5"/>
  <c r="P16" i="5"/>
  <c r="Q15" i="5"/>
  <c r="H17" i="5"/>
  <c r="I16" i="5"/>
  <c r="S17" i="5"/>
  <c r="R18" i="5"/>
  <c r="L10" i="4"/>
  <c r="P17" i="5" l="1"/>
  <c r="Q16" i="5"/>
  <c r="G17" i="5"/>
  <c r="F18" i="5"/>
  <c r="H18" i="5"/>
  <c r="I17" i="5"/>
  <c r="R19" i="5"/>
  <c r="S18" i="5"/>
  <c r="S23" i="5" s="1"/>
  <c r="R24" i="5" s="1"/>
  <c r="U9" i="4" s="1"/>
  <c r="V9" i="4" s="1"/>
  <c r="M10" i="4"/>
  <c r="W10" i="4"/>
  <c r="X10" i="4" s="1"/>
  <c r="C12" i="2"/>
  <c r="F19" i="5" l="1"/>
  <c r="G18" i="5"/>
  <c r="G23" i="5" s="1"/>
  <c r="F24" i="5" s="1"/>
  <c r="Q17" i="5"/>
  <c r="P18" i="5"/>
  <c r="H19" i="5"/>
  <c r="I18" i="5"/>
  <c r="I23" i="5" s="1"/>
  <c r="H24" i="5" s="1"/>
  <c r="B8" i="1" s="1"/>
  <c r="O7" i="4" s="1"/>
  <c r="P7" i="4" s="1"/>
  <c r="R20" i="5"/>
  <c r="S19" i="5"/>
  <c r="C10" i="2"/>
  <c r="C7" i="2"/>
  <c r="C6" i="2"/>
  <c r="C9" i="2"/>
  <c r="C8" i="2"/>
  <c r="C11" i="2"/>
  <c r="C5" i="2"/>
  <c r="P19" i="5" l="1"/>
  <c r="Q18" i="5"/>
  <c r="Q23" i="5" s="1"/>
  <c r="P24" i="5" s="1"/>
  <c r="E7" i="4"/>
  <c r="F7" i="4" s="1"/>
  <c r="J7" i="4" s="1"/>
  <c r="L7" i="4" s="1"/>
  <c r="M7" i="4" s="1"/>
  <c r="D8" i="1"/>
  <c r="G19" i="5"/>
  <c r="F20" i="5"/>
  <c r="F15" i="1"/>
  <c r="B27" i="6"/>
  <c r="I19" i="5"/>
  <c r="H20" i="5"/>
  <c r="R21" i="5"/>
  <c r="S20" i="5"/>
  <c r="Q7" i="4" l="1"/>
  <c r="Q12" i="4" s="1"/>
  <c r="N18" i="1" s="1"/>
  <c r="B22" i="6" s="1"/>
  <c r="L8" i="1"/>
  <c r="B18" i="6" s="1"/>
  <c r="M8" i="1"/>
  <c r="N8" i="1" s="1"/>
  <c r="N12" i="1" s="1"/>
  <c r="G20" i="5"/>
  <c r="F21" i="5"/>
  <c r="E9" i="4"/>
  <c r="F9" i="4" s="1"/>
  <c r="J9" i="4" s="1"/>
  <c r="L9" i="4" s="1"/>
  <c r="B21" i="6"/>
  <c r="Q19" i="5"/>
  <c r="P20" i="5"/>
  <c r="H21" i="5"/>
  <c r="I20" i="5"/>
  <c r="S21" i="5"/>
  <c r="R22" i="5"/>
  <c r="S22" i="5" s="1"/>
  <c r="R7" i="4" l="1"/>
  <c r="M9" i="4"/>
  <c r="W9" i="4"/>
  <c r="P21" i="5"/>
  <c r="Q20" i="5"/>
  <c r="F22" i="5"/>
  <c r="G22" i="5" s="1"/>
  <c r="G21" i="5"/>
  <c r="B13" i="6"/>
  <c r="B32" i="6" s="1"/>
  <c r="N13" i="1"/>
  <c r="N15" i="1" s="1"/>
  <c r="B20" i="6" s="1"/>
  <c r="N11" i="1"/>
  <c r="B15" i="6" s="1"/>
  <c r="H22" i="5"/>
  <c r="I22" i="5" s="1"/>
  <c r="I21" i="5"/>
  <c r="P22" i="5" l="1"/>
  <c r="Q22" i="5" s="1"/>
  <c r="Q21" i="5"/>
  <c r="W12" i="4"/>
  <c r="N19" i="1" s="1"/>
  <c r="X9" i="4"/>
  <c r="B23" i="6" l="1"/>
  <c r="N20" i="1"/>
</calcChain>
</file>

<file path=xl/sharedStrings.xml><?xml version="1.0" encoding="utf-8"?>
<sst xmlns="http://schemas.openxmlformats.org/spreadsheetml/2006/main" count="196" uniqueCount="144">
  <si>
    <t>Energy Cost per KWH:</t>
  </si>
  <si>
    <t>Total Project Savings:</t>
  </si>
  <si>
    <t>Maint Cost per Relamp Trip:</t>
  </si>
  <si>
    <t>Fixture Qty</t>
  </si>
  <si>
    <t>Lamp Life (years)</t>
  </si>
  <si>
    <t>Fixture System Wattage</t>
  </si>
  <si>
    <t xml:space="preserve">Replacement LED Fixture </t>
  </si>
  <si>
    <t>% Energy Savings</t>
  </si>
  <si>
    <t>Energy Savings</t>
  </si>
  <si>
    <t>Maintenance Savings</t>
  </si>
  <si>
    <t>Savings Over Life of LED Fixture</t>
  </si>
  <si>
    <t>LED Fixture Wattage</t>
  </si>
  <si>
    <t>Total Savings Over Life of LED Fixture</t>
  </si>
  <si>
    <t>Savings Per Year:</t>
  </si>
  <si>
    <t>Environmental Savings:</t>
  </si>
  <si>
    <t>Over Life of Product, assuming coal electrical generation</t>
  </si>
  <si>
    <t>Total kWh Saved</t>
  </si>
  <si>
    <t>Total pounds of CO2</t>
  </si>
  <si>
    <t xml:space="preserve">Total pounds of NOX </t>
  </si>
  <si>
    <t xml:space="preserve">Total pounds of SO2 </t>
  </si>
  <si>
    <t xml:space="preserve">Total pounds of PM10 </t>
  </si>
  <si>
    <t xml:space="preserve">Total pounds of PM2.5 </t>
  </si>
  <si>
    <t xml:space="preserve">Total pounds of VOC </t>
  </si>
  <si>
    <t xml:space="preserve">Total pounds of CO </t>
  </si>
  <si>
    <t>Wattage Saved per hour</t>
  </si>
  <si>
    <t>Total Wattage Saved Over Life</t>
  </si>
  <si>
    <t>Pounds of CO2 Emissions Saved:</t>
  </si>
  <si>
    <t>Qty</t>
  </si>
  <si>
    <r>
      <rPr>
        <b/>
        <sz val="12"/>
        <color theme="1"/>
        <rFont val="Arial"/>
        <family val="2"/>
      </rPr>
      <t>ROI</t>
    </r>
    <r>
      <rPr>
        <sz val="12"/>
        <color theme="1"/>
        <rFont val="Arial"/>
        <family val="2"/>
      </rPr>
      <t xml:space="preserve"> (Return on Investment):</t>
    </r>
  </si>
  <si>
    <t>Total New Fixture Cost:</t>
  </si>
  <si>
    <t>Lamp Type/System</t>
  </si>
  <si>
    <t>Total System Wattage</t>
  </si>
  <si>
    <t>Lamp / System Life (hrs)</t>
  </si>
  <si>
    <t>Life in Years</t>
  </si>
  <si>
    <t>Energy Cost Per Year</t>
  </si>
  <si>
    <t>Avg Maint Cost Per Year</t>
  </si>
  <si>
    <t>Replacement Lamp Cost</t>
  </si>
  <si>
    <t>Energy Cost Over 25 Years</t>
  </si>
  <si>
    <t>Cost of Ownership Comparison Per Fixture</t>
  </si>
  <si>
    <t>Load Reduction (KW):</t>
  </si>
  <si>
    <t>KWH Saved Per Year:</t>
  </si>
  <si>
    <t>Avg Total Cost Per Year</t>
  </si>
  <si>
    <t>Total Cost Over 25 Years Life</t>
  </si>
  <si>
    <t>Total number of Equivalent Cars Taken Off the Road for 25 Years:</t>
  </si>
  <si>
    <t>Simple Payback (years):</t>
  </si>
  <si>
    <t>COST OF OWNERSHIP</t>
  </si>
  <si>
    <t>Annual Revenue</t>
  </si>
  <si>
    <t>Profit / Loss Per Year</t>
  </si>
  <si>
    <t>N/A</t>
  </si>
  <si>
    <t>CURRENT</t>
  </si>
  <si>
    <t>PROPOSED</t>
  </si>
  <si>
    <t>Payback (Years)</t>
  </si>
  <si>
    <t>Qty of units</t>
  </si>
  <si>
    <t>Rate Schedule Profit &amp; Payback per Fixture</t>
  </si>
  <si>
    <t>Current System Profit Per Year:</t>
  </si>
  <si>
    <t>Proposed System Profit Per Year:</t>
  </si>
  <si>
    <t>Proposed LED System Profit Per Year:</t>
  </si>
  <si>
    <t>Security Light Project Financials</t>
  </si>
  <si>
    <t>Competitor Info (for comparison)</t>
  </si>
  <si>
    <t>Environmental / Load Benefits:</t>
  </si>
  <si>
    <t>Monthly Rental Rate</t>
  </si>
  <si>
    <t>Annual Rental Profit Increase:</t>
  </si>
  <si>
    <t>Operating Hours per Year:</t>
  </si>
  <si>
    <t>Complete Fixture Cost (incl bulb)</t>
  </si>
  <si>
    <t>Security Light Rental Profitability</t>
  </si>
  <si>
    <t>% Maint Savings</t>
  </si>
  <si>
    <t>Current Installed Fixtures</t>
  </si>
  <si>
    <t>Description</t>
  </si>
  <si>
    <t>System Wattage</t>
  </si>
  <si>
    <t>Rated Life</t>
  </si>
  <si>
    <t>Replacement Fixtures</t>
  </si>
  <si>
    <t>Price Each</t>
  </si>
  <si>
    <t>Total:</t>
  </si>
  <si>
    <t>Averages:</t>
  </si>
  <si>
    <t>HIDE - Line Wattage</t>
  </si>
  <si>
    <t>HIDE - Line Life</t>
  </si>
  <si>
    <t>HIDE - Line Rental</t>
  </si>
  <si>
    <t>Fixture 2</t>
  </si>
  <si>
    <t>Fixture 3</t>
  </si>
  <si>
    <t>Fixture 4</t>
  </si>
  <si>
    <t>Fixture 5</t>
  </si>
  <si>
    <t>Fixture 6</t>
  </si>
  <si>
    <t>Fixture 7</t>
  </si>
  <si>
    <t>Fixture 8</t>
  </si>
  <si>
    <t>Fixture 9</t>
  </si>
  <si>
    <t>Fixture 10</t>
  </si>
  <si>
    <t>Fixture 11</t>
  </si>
  <si>
    <t>Fixture 12</t>
  </si>
  <si>
    <t>Fixture 13</t>
  </si>
  <si>
    <t>Fixture 14</t>
  </si>
  <si>
    <t>Fixture 15</t>
  </si>
  <si>
    <t>HIDE - Line Item Cost</t>
  </si>
  <si>
    <t>Return on Investment** (ROI):</t>
  </si>
  <si>
    <t>Environmental Savings*:</t>
  </si>
  <si>
    <t>Proposed System Includes:</t>
  </si>
  <si>
    <t>Years</t>
  </si>
  <si>
    <t>Thank you for your careful consideration.</t>
  </si>
  <si>
    <t>Sincerely,</t>
  </si>
  <si>
    <t>**The above proposal is an estimate only based on information provided and is not a guarantee or warranty of specific</t>
  </si>
  <si>
    <t>cost savings, energy savings or return on your investment.  Your results may vary depending on your specific installation,</t>
  </si>
  <si>
    <t>energy rates, or other variances in your cost of operation.  The assumptions used to calculate estimated savings are</t>
  </si>
  <si>
    <t>available upon request.</t>
  </si>
  <si>
    <t>Rated System Life:</t>
  </si>
  <si>
    <t>LED SAVINGS PROPOSAL</t>
  </si>
  <si>
    <t>KW</t>
  </si>
  <si>
    <t>System Load Reduction:</t>
  </si>
  <si>
    <t>Labor Savings:</t>
  </si>
  <si>
    <t>Energy Savings:</t>
  </si>
  <si>
    <t xml:space="preserve">Current  </t>
  </si>
  <si>
    <t xml:space="preserve">Replacement  </t>
  </si>
  <si>
    <t>Average Lamp Cost:</t>
  </si>
  <si>
    <t>Average Ballast Cost:</t>
  </si>
  <si>
    <t>Detailed Savings Calculator</t>
  </si>
  <si>
    <t>Current System</t>
  </si>
  <si>
    <t>Replacement System</t>
  </si>
  <si>
    <t>Cost Each New</t>
  </si>
  <si>
    <t>HIDE - Line Cost</t>
  </si>
  <si>
    <t>Current Rental Annual Profit:</t>
  </si>
  <si>
    <t>New Rental Annual Profit:</t>
  </si>
  <si>
    <t>Thank you for the opportunity to present the following LED technology proposal.  This mercury free system is</t>
  </si>
  <si>
    <t>tested and proven in demanding field applications.  These LED fixture systems are designed for maximum</t>
  </si>
  <si>
    <t>long term performance, low cost operation, and ease of installation, and are backed by industry leading</t>
  </si>
  <si>
    <t>warranties.  The below numbers are based on your specific system and actual measurements taken from</t>
  </si>
  <si>
    <t>similar installations.</t>
  </si>
  <si>
    <t>I am pleased to present this proposal.  Yesterday's lighting technology is costly and consumes a lot of resources.</t>
  </si>
  <si>
    <t>Converting to this LED system will have an immediate positive impact on your operating costs and on the resources</t>
  </si>
  <si>
    <t>it takes to support.  Plus the environmental benefits are important to todays eco friendly communities and customers.</t>
  </si>
  <si>
    <t>EDIT SHADED CELLS ONLY</t>
  </si>
  <si>
    <t>Fixture Inputs</t>
  </si>
  <si>
    <t>Total CO2 Reduction:</t>
  </si>
  <si>
    <t>Pounds</t>
  </si>
  <si>
    <t>you get the most out of the life and performance of this system.  We can also provide you with financing options which</t>
  </si>
  <si>
    <t>Per Year</t>
  </si>
  <si>
    <t>Cost of Delaying Project:</t>
  </si>
  <si>
    <t>LED Fixtures/Retrofits</t>
  </si>
  <si>
    <t>will permit you to accelerate the deployment and capture the cost savings earlier.  Converting as soon as possible</t>
  </si>
  <si>
    <t>is the best financial option.</t>
  </si>
  <si>
    <t>D4 60w LED Post Top Retrofit</t>
  </si>
  <si>
    <t>150w HPS Decorative Acorn Fixtures</t>
  </si>
  <si>
    <t>Total Project Cost Savings:</t>
  </si>
  <si>
    <t>&lt;Customer Name&gt;</t>
  </si>
  <si>
    <t>&lt;Representitive Name&gt;</t>
  </si>
  <si>
    <t>&lt;Rep Organization&gt;</t>
  </si>
  <si>
    <t>VEGA's staff of engineers and lighting specialists will support you through the deployment of this system to ensure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</si>
</sst>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_(&quot;$&quot;* #,##0.000_);_(&quot;$&quot;* \(#,##0.000\);_(&quot;$&quot;* &quot;-&quot;??_);_(@_)"/>
    <numFmt numFmtId="168" formatCode="0.0"/>
    <numFmt numFmtId="169" formatCode="_(* #,##0.0_);_(* \(#,##0.0\);_(* &quot;-&quot;??_);_(@_)"/>
    <numFmt numFmtId="170" formatCode="_([$$-409]* #,##0.00_);_([$$-409]* \(#,##0.00\);_([$$-409]* &quot;-&quot;??_);_(@_)"/>
    <numFmt numFmtId="171" formatCode="[$-409]mmmm\ d\,\ yyyy;@"/>
    <numFmt numFmtId="172" formatCode="0.0%"/>
    <numFmt numFmtId="173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 Unicode MS"/>
      <family val="2"/>
    </font>
    <font>
      <b/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15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8" xfId="0" applyFont="1" applyFill="1" applyBorder="1"/>
    <xf numFmtId="0" fontId="8" fillId="2" borderId="18" xfId="0" applyFont="1" applyFill="1" applyBorder="1"/>
    <xf numFmtId="165" fontId="8" fillId="2" borderId="0" xfId="2" applyNumberFormat="1" applyFont="1" applyFill="1" applyBorder="1"/>
    <xf numFmtId="0" fontId="7" fillId="2" borderId="1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3" fontId="7" fillId="2" borderId="1" xfId="2" applyNumberFormat="1" applyFont="1" applyFill="1" applyBorder="1" applyAlignment="1"/>
    <xf numFmtId="0" fontId="8" fillId="2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66" fontId="8" fillId="2" borderId="3" xfId="2" applyNumberFormat="1" applyFont="1" applyFill="1" applyBorder="1" applyAlignment="1"/>
    <xf numFmtId="44" fontId="0" fillId="0" borderId="0" xfId="1" applyFont="1" applyFill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/>
    </xf>
    <xf numFmtId="0" fontId="9" fillId="0" borderId="0" xfId="0" applyFont="1" applyProtection="1"/>
    <xf numFmtId="44" fontId="0" fillId="0" borderId="0" xfId="0" applyNumberFormat="1"/>
    <xf numFmtId="0" fontId="0" fillId="0" borderId="0" xfId="0" applyBorder="1" applyProtection="1"/>
    <xf numFmtId="0" fontId="2" fillId="0" borderId="22" xfId="0" applyFont="1" applyBorder="1" applyAlignment="1" applyProtection="1">
      <alignment horizontal="center" vertical="center" wrapText="1"/>
    </xf>
    <xf numFmtId="0" fontId="0" fillId="0" borderId="0" xfId="0" applyFill="1"/>
    <xf numFmtId="44" fontId="0" fillId="0" borderId="20" xfId="1" applyFont="1" applyFill="1" applyBorder="1"/>
    <xf numFmtId="44" fontId="0" fillId="0" borderId="21" xfId="1" applyFont="1" applyFill="1" applyBorder="1"/>
    <xf numFmtId="0" fontId="0" fillId="0" borderId="15" xfId="0" applyFill="1" applyBorder="1"/>
    <xf numFmtId="44" fontId="0" fillId="0" borderId="16" xfId="1" applyFont="1" applyFill="1" applyBorder="1"/>
    <xf numFmtId="0" fontId="0" fillId="0" borderId="18" xfId="0" applyFill="1" applyBorder="1"/>
    <xf numFmtId="44" fontId="0" fillId="0" borderId="0" xfId="1" applyFont="1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0" fillId="0" borderId="19" xfId="0" applyFill="1" applyBorder="1"/>
    <xf numFmtId="44" fontId="0" fillId="0" borderId="2" xfId="1" applyFont="1" applyFill="1" applyBorder="1"/>
    <xf numFmtId="0" fontId="0" fillId="0" borderId="2" xfId="0" applyFill="1" applyBorder="1"/>
    <xf numFmtId="168" fontId="0" fillId="0" borderId="17" xfId="0" applyNumberFormat="1" applyFill="1" applyBorder="1"/>
    <xf numFmtId="168" fontId="0" fillId="0" borderId="3" xfId="0" applyNumberFormat="1" applyFill="1" applyBorder="1"/>
    <xf numFmtId="44" fontId="0" fillId="0" borderId="7" xfId="1" applyFont="1" applyFill="1" applyBorder="1"/>
    <xf numFmtId="44" fontId="0" fillId="0" borderId="10" xfId="1" applyFont="1" applyFill="1" applyBorder="1"/>
    <xf numFmtId="164" fontId="0" fillId="0" borderId="0" xfId="0" applyNumberFormat="1" applyFill="1" applyBorder="1" applyProtection="1">
      <protection locked="0"/>
    </xf>
    <xf numFmtId="0" fontId="5" fillId="0" borderId="0" xfId="0" applyFont="1" applyAlignment="1">
      <alignment horizontal="right"/>
    </xf>
    <xf numFmtId="169" fontId="5" fillId="0" borderId="0" xfId="2" applyNumberFormat="1" applyFont="1" applyAlignment="1" applyProtection="1">
      <alignment horizontal="center"/>
    </xf>
    <xf numFmtId="165" fontId="5" fillId="0" borderId="0" xfId="2" applyNumberFormat="1" applyFont="1" applyAlignment="1" applyProtection="1">
      <alignment horizontal="center"/>
    </xf>
    <xf numFmtId="165" fontId="5" fillId="0" borderId="0" xfId="2" applyNumberFormat="1" applyFont="1"/>
    <xf numFmtId="0" fontId="10" fillId="0" borderId="0" xfId="0" applyFont="1" applyAlignment="1" applyProtection="1">
      <alignment horizontal="right"/>
    </xf>
    <xf numFmtId="165" fontId="0" fillId="0" borderId="16" xfId="2" applyNumberFormat="1" applyFont="1" applyFill="1" applyBorder="1"/>
    <xf numFmtId="165" fontId="0" fillId="0" borderId="0" xfId="2" applyNumberFormat="1" applyFont="1" applyFill="1" applyBorder="1"/>
    <xf numFmtId="165" fontId="0" fillId="0" borderId="2" xfId="2" applyNumberFormat="1" applyFont="1" applyFill="1" applyBorder="1"/>
    <xf numFmtId="9" fontId="10" fillId="0" borderId="0" xfId="3" applyFont="1" applyAlignment="1" applyProtection="1">
      <alignment horizontal="right"/>
    </xf>
    <xf numFmtId="44" fontId="0" fillId="0" borderId="8" xfId="1" applyFont="1" applyFill="1" applyBorder="1"/>
    <xf numFmtId="44" fontId="0" fillId="0" borderId="7" xfId="1" applyFont="1" applyFill="1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4" fontId="0" fillId="0" borderId="9" xfId="1" applyFont="1" applyFill="1" applyBorder="1"/>
    <xf numFmtId="44" fontId="0" fillId="0" borderId="12" xfId="1" applyFont="1" applyFill="1" applyBorder="1"/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0" fontId="17" fillId="0" borderId="0" xfId="0" applyFont="1" applyProtection="1"/>
    <xf numFmtId="0" fontId="0" fillId="0" borderId="0" xfId="0" applyFont="1" applyProtection="1"/>
    <xf numFmtId="0" fontId="16" fillId="0" borderId="0" xfId="0" applyFont="1" applyFill="1" applyProtection="1"/>
    <xf numFmtId="0" fontId="0" fillId="0" borderId="0" xfId="0" applyFill="1" applyProtection="1"/>
    <xf numFmtId="0" fontId="0" fillId="3" borderId="0" xfId="0" applyFill="1" applyBorder="1"/>
    <xf numFmtId="44" fontId="0" fillId="0" borderId="9" xfId="1" applyFon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44" fontId="0" fillId="0" borderId="16" xfId="1" applyFont="1" applyFill="1" applyBorder="1" applyAlignment="1">
      <alignment horizontal="center"/>
    </xf>
    <xf numFmtId="0" fontId="2" fillId="0" borderId="31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167" fontId="18" fillId="3" borderId="0" xfId="1" applyNumberFormat="1" applyFont="1" applyFill="1" applyBorder="1" applyAlignment="1" applyProtection="1">
      <alignment horizontal="center"/>
      <protection locked="0"/>
    </xf>
    <xf numFmtId="44" fontId="18" fillId="0" borderId="0" xfId="0" applyNumberFormat="1" applyFont="1" applyFill="1" applyProtection="1"/>
    <xf numFmtId="44" fontId="18" fillId="3" borderId="0" xfId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Protection="1"/>
    <xf numFmtId="165" fontId="18" fillId="3" borderId="0" xfId="2" applyNumberFormat="1" applyFont="1" applyFill="1" applyAlignment="1" applyProtection="1">
      <alignment horizontal="center"/>
    </xf>
    <xf numFmtId="0" fontId="3" fillId="0" borderId="0" xfId="0" applyFont="1" applyBorder="1"/>
    <xf numFmtId="164" fontId="10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168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>
      <alignment horizontal="right" vertical="center"/>
    </xf>
    <xf numFmtId="164" fontId="10" fillId="0" borderId="0" xfId="1" applyNumberFormat="1" applyFont="1" applyAlignment="1" applyProtection="1"/>
    <xf numFmtId="0" fontId="2" fillId="0" borderId="0" xfId="0" applyFont="1" applyFill="1" applyBorder="1" applyAlignment="1" applyProtection="1">
      <alignment horizontal="center" vertical="center" wrapText="1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ill="1" applyBorder="1"/>
    <xf numFmtId="0" fontId="0" fillId="0" borderId="0" xfId="0" applyFill="1" applyBorder="1" applyProtection="1"/>
    <xf numFmtId="0" fontId="0" fillId="0" borderId="0" xfId="0" applyAlignment="1">
      <alignment horizontal="center" wrapText="1"/>
    </xf>
    <xf numFmtId="0" fontId="20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4" fontId="0" fillId="3" borderId="10" xfId="1" applyFont="1" applyFill="1" applyBorder="1" applyAlignment="1">
      <alignment horizontal="center"/>
    </xf>
    <xf numFmtId="44" fontId="0" fillId="3" borderId="12" xfId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2" fillId="0" borderId="0" xfId="0" applyFont="1"/>
    <xf numFmtId="0" fontId="6" fillId="0" borderId="0" xfId="0" applyFont="1"/>
    <xf numFmtId="171" fontId="23" fillId="0" borderId="0" xfId="0" applyNumberFormat="1" applyFont="1" applyAlignment="1">
      <alignment horizontal="left"/>
    </xf>
    <xf numFmtId="0" fontId="23" fillId="0" borderId="0" xfId="0" applyFont="1"/>
    <xf numFmtId="0" fontId="23" fillId="0" borderId="0" xfId="0" applyFont="1" applyFill="1"/>
    <xf numFmtId="0" fontId="8" fillId="0" borderId="0" xfId="0" applyFont="1" applyFill="1"/>
    <xf numFmtId="172" fontId="23" fillId="0" borderId="0" xfId="0" applyNumberFormat="1" applyFont="1" applyFill="1" applyAlignment="1">
      <alignment horizontal="center"/>
    </xf>
    <xf numFmtId="173" fontId="23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/>
    </xf>
    <xf numFmtId="172" fontId="23" fillId="0" borderId="0" xfId="0" applyNumberFormat="1" applyFont="1" applyFill="1"/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25" fillId="0" borderId="0" xfId="0" applyFont="1"/>
    <xf numFmtId="0" fontId="25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11" fillId="0" borderId="0" xfId="0" applyFont="1" applyFill="1"/>
    <xf numFmtId="0" fontId="0" fillId="0" borderId="0" xfId="0" applyFill="1" applyAlignment="1" applyProtection="1">
      <alignment horizontal="right"/>
    </xf>
    <xf numFmtId="167" fontId="0" fillId="0" borderId="0" xfId="0" applyNumberForma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8" fontId="0" fillId="0" borderId="2" xfId="0" applyNumberFormat="1" applyFill="1" applyBorder="1"/>
    <xf numFmtId="164" fontId="13" fillId="0" borderId="0" xfId="0" applyNumberFormat="1" applyFont="1" applyFill="1" applyAlignment="1">
      <alignment vertical="center"/>
    </xf>
    <xf numFmtId="44" fontId="14" fillId="0" borderId="0" xfId="0" applyNumberFormat="1" applyFont="1" applyFill="1" applyAlignment="1"/>
    <xf numFmtId="168" fontId="0" fillId="0" borderId="0" xfId="0" applyNumberFormat="1" applyFill="1"/>
    <xf numFmtId="44" fontId="0" fillId="0" borderId="33" xfId="1" applyFont="1" applyFill="1" applyBorder="1"/>
    <xf numFmtId="44" fontId="0" fillId="0" borderId="34" xfId="1" applyFont="1" applyFill="1" applyBorder="1"/>
    <xf numFmtId="44" fontId="0" fillId="0" borderId="35" xfId="1" applyFont="1" applyFill="1" applyBorder="1"/>
    <xf numFmtId="44" fontId="0" fillId="0" borderId="36" xfId="1" applyFont="1" applyFill="1" applyBorder="1"/>
    <xf numFmtId="44" fontId="0" fillId="0" borderId="33" xfId="1" applyFont="1" applyFill="1" applyBorder="1" applyAlignment="1">
      <alignment horizontal="center"/>
    </xf>
    <xf numFmtId="44" fontId="0" fillId="0" borderId="34" xfId="0" applyNumberFormat="1" applyFill="1" applyBorder="1" applyAlignment="1">
      <alignment horizontal="center"/>
    </xf>
    <xf numFmtId="168" fontId="0" fillId="0" borderId="36" xfId="0" applyNumberForma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/>
    </xf>
    <xf numFmtId="170" fontId="18" fillId="0" borderId="0" xfId="1" applyNumberFormat="1" applyFont="1" applyFill="1" applyBorder="1" applyAlignment="1">
      <alignment horizontal="center"/>
    </xf>
    <xf numFmtId="0" fontId="2" fillId="0" borderId="22" xfId="0" applyFont="1" applyBorder="1" applyProtection="1"/>
    <xf numFmtId="0" fontId="18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165" fontId="18" fillId="0" borderId="4" xfId="0" applyNumberFormat="1" applyFont="1" applyBorder="1" applyAlignment="1" applyProtection="1">
      <alignment horizontal="center"/>
    </xf>
    <xf numFmtId="9" fontId="18" fillId="0" borderId="5" xfId="0" applyNumberFormat="1" applyFont="1" applyBorder="1" applyAlignment="1" applyProtection="1">
      <alignment horizontal="center"/>
    </xf>
    <xf numFmtId="164" fontId="18" fillId="0" borderId="4" xfId="0" applyNumberFormat="1" applyFont="1" applyBorder="1" applyProtection="1"/>
    <xf numFmtId="9" fontId="18" fillId="0" borderId="22" xfId="0" applyNumberFormat="1" applyFont="1" applyBorder="1" applyAlignment="1" applyProtection="1">
      <alignment horizontal="center"/>
    </xf>
    <xf numFmtId="164" fontId="18" fillId="0" borderId="31" xfId="1" applyNumberFormat="1" applyFont="1" applyBorder="1" applyProtection="1"/>
    <xf numFmtId="164" fontId="18" fillId="0" borderId="6" xfId="0" applyNumberFormat="1" applyFont="1" applyBorder="1" applyProtection="1"/>
    <xf numFmtId="0" fontId="18" fillId="0" borderId="0" xfId="0" applyFont="1" applyFill="1" applyAlignment="1" applyProtection="1">
      <alignment horizontal="right"/>
    </xf>
    <xf numFmtId="0" fontId="18" fillId="0" borderId="0" xfId="0" applyFont="1" applyFill="1"/>
    <xf numFmtId="164" fontId="18" fillId="0" borderId="0" xfId="1" applyNumberFormat="1" applyFont="1" applyFill="1" applyBorder="1" applyAlignment="1" applyProtection="1">
      <alignment horizontal="center"/>
      <protection locked="0"/>
    </xf>
    <xf numFmtId="167" fontId="18" fillId="0" borderId="0" xfId="1" applyNumberFormat="1" applyFont="1" applyFill="1" applyBorder="1" applyAlignment="1" applyProtection="1">
      <alignment horizontal="center"/>
      <protection locked="0"/>
    </xf>
    <xf numFmtId="44" fontId="18" fillId="0" borderId="0" xfId="1" applyFont="1" applyFill="1" applyBorder="1" applyAlignment="1" applyProtection="1">
      <alignment horizontal="center"/>
      <protection locked="0"/>
    </xf>
    <xf numFmtId="165" fontId="18" fillId="0" borderId="0" xfId="2" applyNumberFormat="1" applyFont="1" applyFill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170" fontId="2" fillId="0" borderId="37" xfId="1" applyNumberFormat="1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 wrapText="1"/>
    </xf>
    <xf numFmtId="44" fontId="0" fillId="0" borderId="8" xfId="1" applyFont="1" applyFill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165" fontId="0" fillId="0" borderId="10" xfId="2" applyNumberFormat="1" applyFont="1" applyFill="1" applyBorder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44" fontId="0" fillId="3" borderId="0" xfId="1" applyFont="1" applyFill="1"/>
    <xf numFmtId="1" fontId="18" fillId="0" borderId="4" xfId="0" applyNumberFormat="1" applyFont="1" applyBorder="1" applyAlignment="1" applyProtection="1">
      <alignment horizontal="center"/>
    </xf>
    <xf numFmtId="168" fontId="18" fillId="0" borderId="4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>
      <alignment horizontal="center"/>
    </xf>
    <xf numFmtId="168" fontId="23" fillId="0" borderId="0" xfId="3" applyNumberFormat="1" applyFont="1" applyFill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44" fontId="0" fillId="3" borderId="20" xfId="1" applyFont="1" applyFill="1" applyBorder="1" applyAlignment="1">
      <alignment horizontal="center"/>
    </xf>
    <xf numFmtId="44" fontId="0" fillId="3" borderId="21" xfId="1" applyFont="1" applyFill="1" applyBorder="1" applyAlignment="1">
      <alignment horizontal="center"/>
    </xf>
    <xf numFmtId="44" fontId="0" fillId="0" borderId="20" xfId="1" applyFont="1" applyFill="1" applyBorder="1" applyAlignment="1">
      <alignment horizontal="center"/>
    </xf>
    <xf numFmtId="44" fontId="0" fillId="0" borderId="21" xfId="1" applyFont="1" applyFill="1" applyBorder="1" applyAlignment="1">
      <alignment horizontal="center"/>
    </xf>
    <xf numFmtId="1" fontId="0" fillId="0" borderId="16" xfId="0" applyNumberFormat="1" applyFill="1" applyBorder="1"/>
    <xf numFmtId="0" fontId="7" fillId="0" borderId="0" xfId="0" applyFont="1" applyFill="1" applyAlignment="1"/>
    <xf numFmtId="0" fontId="27" fillId="0" borderId="0" xfId="0" applyFont="1" applyFill="1"/>
    <xf numFmtId="0" fontId="26" fillId="3" borderId="0" xfId="0" applyFont="1" applyFill="1" applyAlignment="1">
      <alignment vertical="center"/>
    </xf>
    <xf numFmtId="0" fontId="27" fillId="3" borderId="0" xfId="0" applyFont="1" applyFill="1"/>
    <xf numFmtId="0" fontId="20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164" fontId="23" fillId="0" borderId="0" xfId="1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23" fillId="0" borderId="0" xfId="1" applyNumberFormat="1" applyFont="1" applyFill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0" borderId="0" xfId="0" applyFont="1" applyAlignment="1">
      <alignment horizontal="right" vertical="center" wrapText="1"/>
    </xf>
    <xf numFmtId="0" fontId="16" fillId="0" borderId="0" xfId="0" applyFont="1" applyFill="1" applyAlignment="1" applyProtection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</xdr:rowOff>
    </xdr:from>
    <xdr:to>
      <xdr:col>6</xdr:col>
      <xdr:colOff>499268</xdr:colOff>
      <xdr:row>3</xdr:row>
      <xdr:rowOff>25401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C5E224-5B57-4C46-B8ED-5FC85718B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0800" y="1"/>
          <a:ext cx="321706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workbookViewId="0"/>
  </sheetViews>
  <sheetFormatPr baseColWidth="10" defaultColWidth="8.83203125" defaultRowHeight="15" x14ac:dyDescent="0.2"/>
  <cols>
    <col min="1" max="1" width="6.33203125" customWidth="1"/>
    <col min="2" max="2" width="9.1640625" style="96"/>
    <col min="3" max="3" width="40" customWidth="1"/>
    <col min="4" max="4" width="8.83203125" customWidth="1"/>
    <col min="5" max="5" width="8.83203125" style="33" hidden="1" customWidth="1"/>
    <col min="6" max="6" width="10.5" customWidth="1"/>
    <col min="7" max="7" width="11.5" style="33" hidden="1" customWidth="1"/>
    <col min="9" max="9" width="10.5" style="33" hidden="1" customWidth="1"/>
    <col min="10" max="10" width="10.5" style="33" customWidth="1"/>
    <col min="11" max="11" width="13.1640625" style="33" hidden="1" customWidth="1"/>
    <col min="13" max="13" width="40.33203125" customWidth="1"/>
    <col min="15" max="15" width="10.5" style="33" hidden="1" customWidth="1"/>
    <col min="16" max="16" width="10.33203125" customWidth="1"/>
    <col min="17" max="17" width="12.33203125" style="33" hidden="1" customWidth="1"/>
    <col min="19" max="19" width="10.83203125" style="33" hidden="1" customWidth="1"/>
    <col min="20" max="20" width="12.33203125" customWidth="1"/>
    <col min="21" max="21" width="11.5" hidden="1" customWidth="1"/>
  </cols>
  <sheetData>
    <row r="1" spans="1:21" ht="24" x14ac:dyDescent="0.3">
      <c r="A1" s="100" t="s">
        <v>128</v>
      </c>
      <c r="F1" s="217" t="s">
        <v>127</v>
      </c>
      <c r="G1" s="218"/>
      <c r="H1" s="218"/>
      <c r="I1" s="218"/>
      <c r="J1" s="218"/>
      <c r="K1" s="218"/>
      <c r="L1" s="218"/>
    </row>
    <row r="2" spans="1:21" s="33" customFormat="1" ht="6.75" customHeight="1" x14ac:dyDescent="0.3">
      <c r="A2" s="219"/>
      <c r="B2" s="194"/>
      <c r="F2" s="220"/>
      <c r="G2" s="216"/>
      <c r="H2" s="216"/>
      <c r="I2" s="216"/>
      <c r="J2" s="216"/>
      <c r="K2" s="216"/>
      <c r="L2" s="216"/>
    </row>
    <row r="3" spans="1:21" ht="14.25" customHeight="1" x14ac:dyDescent="0.2">
      <c r="C3" s="82" t="s">
        <v>0</v>
      </c>
      <c r="D3" s="83">
        <v>0.1</v>
      </c>
      <c r="H3" s="105" t="s">
        <v>110</v>
      </c>
      <c r="J3" s="203">
        <v>30</v>
      </c>
    </row>
    <row r="4" spans="1:21" ht="14.25" customHeight="1" x14ac:dyDescent="0.3">
      <c r="A4" s="100"/>
      <c r="C4" s="82" t="s">
        <v>2</v>
      </c>
      <c r="D4" s="85">
        <v>150</v>
      </c>
      <c r="H4" s="105" t="s">
        <v>111</v>
      </c>
      <c r="J4" s="203">
        <v>75</v>
      </c>
    </row>
    <row r="5" spans="1:21" ht="14.25" customHeight="1" thickBot="1" x14ac:dyDescent="0.25">
      <c r="C5" s="82" t="s">
        <v>62</v>
      </c>
      <c r="D5" s="87">
        <v>4300</v>
      </c>
    </row>
    <row r="6" spans="1:21" ht="19" x14ac:dyDescent="0.25">
      <c r="B6" s="225" t="s">
        <v>66</v>
      </c>
      <c r="C6" s="226"/>
      <c r="D6" s="226"/>
      <c r="E6" s="226"/>
      <c r="F6" s="226"/>
      <c r="G6" s="226"/>
      <c r="H6" s="227"/>
      <c r="I6" s="195"/>
      <c r="J6" s="208"/>
      <c r="K6" s="208"/>
      <c r="L6" s="225" t="s">
        <v>70</v>
      </c>
      <c r="M6" s="226"/>
      <c r="N6" s="226"/>
      <c r="O6" s="226"/>
      <c r="P6" s="226"/>
      <c r="Q6" s="226"/>
      <c r="R6" s="226"/>
      <c r="S6" s="226"/>
      <c r="T6" s="227"/>
    </row>
    <row r="7" spans="1:21" s="99" customFormat="1" ht="45" x14ac:dyDescent="0.2">
      <c r="B7" s="109" t="s">
        <v>27</v>
      </c>
      <c r="C7" s="110" t="s">
        <v>67</v>
      </c>
      <c r="D7" s="110" t="s">
        <v>68</v>
      </c>
      <c r="E7" s="191" t="s">
        <v>74</v>
      </c>
      <c r="F7" s="110" t="s">
        <v>69</v>
      </c>
      <c r="G7" s="191" t="s">
        <v>75</v>
      </c>
      <c r="H7" s="111" t="s">
        <v>60</v>
      </c>
      <c r="I7" s="196" t="s">
        <v>76</v>
      </c>
      <c r="J7" s="209" t="s">
        <v>115</v>
      </c>
      <c r="K7" s="209" t="s">
        <v>116</v>
      </c>
      <c r="L7" s="109" t="s">
        <v>27</v>
      </c>
      <c r="M7" s="110" t="s">
        <v>67</v>
      </c>
      <c r="N7" s="110" t="s">
        <v>68</v>
      </c>
      <c r="O7" s="191" t="s">
        <v>74</v>
      </c>
      <c r="P7" s="110" t="s">
        <v>69</v>
      </c>
      <c r="Q7" s="191" t="s">
        <v>75</v>
      </c>
      <c r="R7" s="110" t="s">
        <v>60</v>
      </c>
      <c r="S7" s="191" t="s">
        <v>76</v>
      </c>
      <c r="T7" s="111" t="s">
        <v>71</v>
      </c>
      <c r="U7" s="99" t="s">
        <v>91</v>
      </c>
    </row>
    <row r="8" spans="1:21" x14ac:dyDescent="0.2">
      <c r="A8" s="96">
        <v>1</v>
      </c>
      <c r="B8" s="112">
        <v>100</v>
      </c>
      <c r="C8" s="73" t="s">
        <v>138</v>
      </c>
      <c r="D8" s="113">
        <v>190</v>
      </c>
      <c r="E8" s="103">
        <f>B8*D8</f>
        <v>19000</v>
      </c>
      <c r="F8" s="113">
        <v>17200</v>
      </c>
      <c r="G8" s="103">
        <f>B8*F8</f>
        <v>1720000</v>
      </c>
      <c r="H8" s="115">
        <v>0</v>
      </c>
      <c r="I8" s="197">
        <f>B8*H8</f>
        <v>0</v>
      </c>
      <c r="J8" s="210">
        <v>800</v>
      </c>
      <c r="K8" s="212">
        <f>J8*B8</f>
        <v>80000</v>
      </c>
      <c r="L8" s="112">
        <f>B8</f>
        <v>100</v>
      </c>
      <c r="M8" s="121" t="s">
        <v>137</v>
      </c>
      <c r="N8" s="113">
        <v>55</v>
      </c>
      <c r="O8" s="103">
        <f>L8*N8</f>
        <v>5500</v>
      </c>
      <c r="P8" s="113">
        <v>100000</v>
      </c>
      <c r="Q8" s="193">
        <f>L8*P8</f>
        <v>10000000</v>
      </c>
      <c r="R8" s="114">
        <v>0</v>
      </c>
      <c r="S8" s="200">
        <f>L8*R8</f>
        <v>0</v>
      </c>
      <c r="T8" s="115">
        <v>325</v>
      </c>
      <c r="U8" s="30">
        <f>L8*T8</f>
        <v>32500</v>
      </c>
    </row>
    <row r="9" spans="1:21" x14ac:dyDescent="0.2">
      <c r="A9" s="96">
        <v>2</v>
      </c>
      <c r="B9" s="112">
        <v>0</v>
      </c>
      <c r="C9" s="73" t="s">
        <v>77</v>
      </c>
      <c r="D9" s="113">
        <v>0</v>
      </c>
      <c r="E9" s="103">
        <f t="shared" ref="E9:E22" si="0">B9*D9</f>
        <v>0</v>
      </c>
      <c r="F9" s="113">
        <f>F8</f>
        <v>17200</v>
      </c>
      <c r="G9" s="103">
        <f t="shared" ref="G9:G22" si="1">B9*F9</f>
        <v>0</v>
      </c>
      <c r="H9" s="115">
        <f>H8</f>
        <v>0</v>
      </c>
      <c r="I9" s="197">
        <f t="shared" ref="I9:I22" si="2">B9*H9</f>
        <v>0</v>
      </c>
      <c r="J9" s="210">
        <f>J8</f>
        <v>800</v>
      </c>
      <c r="K9" s="212">
        <f t="shared" ref="K9:K22" si="3">J9*B9</f>
        <v>0</v>
      </c>
      <c r="L9" s="112">
        <f t="shared" ref="L9:L22" si="4">B9</f>
        <v>0</v>
      </c>
      <c r="M9" s="73" t="s">
        <v>77</v>
      </c>
      <c r="N9" s="113">
        <v>0</v>
      </c>
      <c r="O9" s="103">
        <f t="shared" ref="O9:O22" si="5">L9*N9</f>
        <v>0</v>
      </c>
      <c r="P9" s="113">
        <f>P8</f>
        <v>100000</v>
      </c>
      <c r="Q9" s="193">
        <f t="shared" ref="Q9:Q22" si="6">L9*P9</f>
        <v>0</v>
      </c>
      <c r="R9" s="114">
        <f>R8</f>
        <v>0</v>
      </c>
      <c r="S9" s="201">
        <f t="shared" ref="S9:S22" si="7">L9*R9</f>
        <v>0</v>
      </c>
      <c r="T9" s="115">
        <v>0</v>
      </c>
      <c r="U9" s="30">
        <f t="shared" ref="U9:U22" si="8">L9*T9</f>
        <v>0</v>
      </c>
    </row>
    <row r="10" spans="1:21" x14ac:dyDescent="0.2">
      <c r="A10" s="96">
        <v>3</v>
      </c>
      <c r="B10" s="112">
        <v>0</v>
      </c>
      <c r="C10" s="73" t="s">
        <v>78</v>
      </c>
      <c r="D10" s="113">
        <v>0</v>
      </c>
      <c r="E10" s="103">
        <f t="shared" si="0"/>
        <v>0</v>
      </c>
      <c r="F10" s="113">
        <f t="shared" ref="F10:F22" si="9">F9</f>
        <v>17200</v>
      </c>
      <c r="G10" s="103">
        <f t="shared" si="1"/>
        <v>0</v>
      </c>
      <c r="H10" s="115">
        <f t="shared" ref="H10:H22" si="10">H9</f>
        <v>0</v>
      </c>
      <c r="I10" s="197">
        <f t="shared" si="2"/>
        <v>0</v>
      </c>
      <c r="J10" s="210">
        <f t="shared" ref="J10:J22" si="11">J9</f>
        <v>800</v>
      </c>
      <c r="K10" s="212">
        <f t="shared" si="3"/>
        <v>0</v>
      </c>
      <c r="L10" s="112">
        <f t="shared" si="4"/>
        <v>0</v>
      </c>
      <c r="M10" s="73" t="s">
        <v>78</v>
      </c>
      <c r="N10" s="113">
        <v>0</v>
      </c>
      <c r="O10" s="103">
        <f t="shared" si="5"/>
        <v>0</v>
      </c>
      <c r="P10" s="113">
        <f t="shared" ref="P10:P22" si="12">P9</f>
        <v>100000</v>
      </c>
      <c r="Q10" s="193">
        <f t="shared" si="6"/>
        <v>0</v>
      </c>
      <c r="R10" s="114">
        <f t="shared" ref="R10:R22" si="13">R9</f>
        <v>0</v>
      </c>
      <c r="S10" s="201">
        <f t="shared" si="7"/>
        <v>0</v>
      </c>
      <c r="T10" s="115">
        <v>0</v>
      </c>
      <c r="U10" s="30">
        <f t="shared" si="8"/>
        <v>0</v>
      </c>
    </row>
    <row r="11" spans="1:21" x14ac:dyDescent="0.2">
      <c r="A11" s="96">
        <v>4</v>
      </c>
      <c r="B11" s="112">
        <v>0</v>
      </c>
      <c r="C11" s="73" t="s">
        <v>79</v>
      </c>
      <c r="D11" s="113">
        <v>0</v>
      </c>
      <c r="E11" s="103">
        <f t="shared" si="0"/>
        <v>0</v>
      </c>
      <c r="F11" s="113">
        <f t="shared" si="9"/>
        <v>17200</v>
      </c>
      <c r="G11" s="103">
        <f t="shared" si="1"/>
        <v>0</v>
      </c>
      <c r="H11" s="115">
        <f t="shared" si="10"/>
        <v>0</v>
      </c>
      <c r="I11" s="197">
        <f t="shared" si="2"/>
        <v>0</v>
      </c>
      <c r="J11" s="210">
        <f t="shared" si="11"/>
        <v>800</v>
      </c>
      <c r="K11" s="212">
        <f t="shared" si="3"/>
        <v>0</v>
      </c>
      <c r="L11" s="112">
        <f t="shared" si="4"/>
        <v>0</v>
      </c>
      <c r="M11" s="73" t="s">
        <v>79</v>
      </c>
      <c r="N11" s="113">
        <v>0</v>
      </c>
      <c r="O11" s="103">
        <f t="shared" si="5"/>
        <v>0</v>
      </c>
      <c r="P11" s="113">
        <f t="shared" si="12"/>
        <v>100000</v>
      </c>
      <c r="Q11" s="193">
        <f t="shared" si="6"/>
        <v>0</v>
      </c>
      <c r="R11" s="114">
        <f t="shared" si="13"/>
        <v>0</v>
      </c>
      <c r="S11" s="201">
        <f t="shared" si="7"/>
        <v>0</v>
      </c>
      <c r="T11" s="115">
        <v>0</v>
      </c>
      <c r="U11" s="30">
        <f t="shared" si="8"/>
        <v>0</v>
      </c>
    </row>
    <row r="12" spans="1:21" x14ac:dyDescent="0.2">
      <c r="A12" s="96">
        <v>5</v>
      </c>
      <c r="B12" s="112">
        <v>0</v>
      </c>
      <c r="C12" s="73" t="s">
        <v>80</v>
      </c>
      <c r="D12" s="113">
        <v>0</v>
      </c>
      <c r="E12" s="103">
        <f t="shared" si="0"/>
        <v>0</v>
      </c>
      <c r="F12" s="113">
        <f t="shared" si="9"/>
        <v>17200</v>
      </c>
      <c r="G12" s="103">
        <f t="shared" si="1"/>
        <v>0</v>
      </c>
      <c r="H12" s="115">
        <f t="shared" si="10"/>
        <v>0</v>
      </c>
      <c r="I12" s="197">
        <f t="shared" si="2"/>
        <v>0</v>
      </c>
      <c r="J12" s="210">
        <f t="shared" si="11"/>
        <v>800</v>
      </c>
      <c r="K12" s="212">
        <f t="shared" si="3"/>
        <v>0</v>
      </c>
      <c r="L12" s="112">
        <f t="shared" si="4"/>
        <v>0</v>
      </c>
      <c r="M12" s="73" t="s">
        <v>80</v>
      </c>
      <c r="N12" s="113">
        <v>0</v>
      </c>
      <c r="O12" s="103">
        <f t="shared" si="5"/>
        <v>0</v>
      </c>
      <c r="P12" s="113">
        <f t="shared" si="12"/>
        <v>100000</v>
      </c>
      <c r="Q12" s="193">
        <f t="shared" si="6"/>
        <v>0</v>
      </c>
      <c r="R12" s="114">
        <f t="shared" si="13"/>
        <v>0</v>
      </c>
      <c r="S12" s="201">
        <f t="shared" si="7"/>
        <v>0</v>
      </c>
      <c r="T12" s="115">
        <v>0</v>
      </c>
      <c r="U12" s="30">
        <f t="shared" si="8"/>
        <v>0</v>
      </c>
    </row>
    <row r="13" spans="1:21" x14ac:dyDescent="0.2">
      <c r="A13" s="96">
        <v>6</v>
      </c>
      <c r="B13" s="112">
        <v>0</v>
      </c>
      <c r="C13" s="73" t="s">
        <v>81</v>
      </c>
      <c r="D13" s="113">
        <v>0</v>
      </c>
      <c r="E13" s="103">
        <f t="shared" si="0"/>
        <v>0</v>
      </c>
      <c r="F13" s="113">
        <f t="shared" si="9"/>
        <v>17200</v>
      </c>
      <c r="G13" s="103">
        <f t="shared" si="1"/>
        <v>0</v>
      </c>
      <c r="H13" s="115">
        <f t="shared" si="10"/>
        <v>0</v>
      </c>
      <c r="I13" s="197">
        <f t="shared" si="2"/>
        <v>0</v>
      </c>
      <c r="J13" s="210">
        <f t="shared" si="11"/>
        <v>800</v>
      </c>
      <c r="K13" s="212">
        <f t="shared" si="3"/>
        <v>0</v>
      </c>
      <c r="L13" s="112">
        <f t="shared" si="4"/>
        <v>0</v>
      </c>
      <c r="M13" s="73" t="s">
        <v>81</v>
      </c>
      <c r="N13" s="113">
        <v>0</v>
      </c>
      <c r="O13" s="103">
        <f t="shared" si="5"/>
        <v>0</v>
      </c>
      <c r="P13" s="113">
        <f t="shared" si="12"/>
        <v>100000</v>
      </c>
      <c r="Q13" s="193">
        <f t="shared" si="6"/>
        <v>0</v>
      </c>
      <c r="R13" s="114">
        <f t="shared" si="13"/>
        <v>0</v>
      </c>
      <c r="S13" s="201">
        <f t="shared" si="7"/>
        <v>0</v>
      </c>
      <c r="T13" s="115">
        <v>0</v>
      </c>
      <c r="U13" s="30">
        <f t="shared" si="8"/>
        <v>0</v>
      </c>
    </row>
    <row r="14" spans="1:21" x14ac:dyDescent="0.2">
      <c r="A14" s="96">
        <v>7</v>
      </c>
      <c r="B14" s="112">
        <v>0</v>
      </c>
      <c r="C14" s="73" t="s">
        <v>82</v>
      </c>
      <c r="D14" s="113">
        <v>0</v>
      </c>
      <c r="E14" s="103">
        <f t="shared" si="0"/>
        <v>0</v>
      </c>
      <c r="F14" s="113">
        <f t="shared" si="9"/>
        <v>17200</v>
      </c>
      <c r="G14" s="103">
        <f t="shared" si="1"/>
        <v>0</v>
      </c>
      <c r="H14" s="115">
        <f t="shared" si="10"/>
        <v>0</v>
      </c>
      <c r="I14" s="197">
        <f t="shared" si="2"/>
        <v>0</v>
      </c>
      <c r="J14" s="210">
        <f t="shared" si="11"/>
        <v>800</v>
      </c>
      <c r="K14" s="212">
        <f t="shared" si="3"/>
        <v>0</v>
      </c>
      <c r="L14" s="112">
        <f t="shared" si="4"/>
        <v>0</v>
      </c>
      <c r="M14" s="73" t="s">
        <v>82</v>
      </c>
      <c r="N14" s="113">
        <v>0</v>
      </c>
      <c r="O14" s="103">
        <f t="shared" si="5"/>
        <v>0</v>
      </c>
      <c r="P14" s="113">
        <f t="shared" si="12"/>
        <v>100000</v>
      </c>
      <c r="Q14" s="193">
        <f t="shared" si="6"/>
        <v>0</v>
      </c>
      <c r="R14" s="114">
        <f t="shared" si="13"/>
        <v>0</v>
      </c>
      <c r="S14" s="201">
        <f t="shared" si="7"/>
        <v>0</v>
      </c>
      <c r="T14" s="115">
        <v>0</v>
      </c>
      <c r="U14" s="30">
        <f t="shared" si="8"/>
        <v>0</v>
      </c>
    </row>
    <row r="15" spans="1:21" x14ac:dyDescent="0.2">
      <c r="A15" s="96">
        <v>8</v>
      </c>
      <c r="B15" s="112">
        <v>0</v>
      </c>
      <c r="C15" s="73" t="s">
        <v>83</v>
      </c>
      <c r="D15" s="113">
        <v>0</v>
      </c>
      <c r="E15" s="103">
        <f t="shared" si="0"/>
        <v>0</v>
      </c>
      <c r="F15" s="113">
        <f t="shared" si="9"/>
        <v>17200</v>
      </c>
      <c r="G15" s="103">
        <f t="shared" si="1"/>
        <v>0</v>
      </c>
      <c r="H15" s="115">
        <f t="shared" si="10"/>
        <v>0</v>
      </c>
      <c r="I15" s="197">
        <f t="shared" si="2"/>
        <v>0</v>
      </c>
      <c r="J15" s="210">
        <f t="shared" si="11"/>
        <v>800</v>
      </c>
      <c r="K15" s="212">
        <f t="shared" si="3"/>
        <v>0</v>
      </c>
      <c r="L15" s="112">
        <f t="shared" si="4"/>
        <v>0</v>
      </c>
      <c r="M15" s="73" t="s">
        <v>83</v>
      </c>
      <c r="N15" s="113">
        <v>0</v>
      </c>
      <c r="O15" s="103">
        <f t="shared" si="5"/>
        <v>0</v>
      </c>
      <c r="P15" s="113">
        <f t="shared" si="12"/>
        <v>100000</v>
      </c>
      <c r="Q15" s="193">
        <f t="shared" si="6"/>
        <v>0</v>
      </c>
      <c r="R15" s="114">
        <f t="shared" si="13"/>
        <v>0</v>
      </c>
      <c r="S15" s="201">
        <f t="shared" si="7"/>
        <v>0</v>
      </c>
      <c r="T15" s="115">
        <v>0</v>
      </c>
      <c r="U15" s="30">
        <f t="shared" si="8"/>
        <v>0</v>
      </c>
    </row>
    <row r="16" spans="1:21" x14ac:dyDescent="0.2">
      <c r="A16" s="96">
        <v>9</v>
      </c>
      <c r="B16" s="112">
        <v>0</v>
      </c>
      <c r="C16" s="73" t="s">
        <v>84</v>
      </c>
      <c r="D16" s="113">
        <v>0</v>
      </c>
      <c r="E16" s="103">
        <f t="shared" si="0"/>
        <v>0</v>
      </c>
      <c r="F16" s="113">
        <f t="shared" si="9"/>
        <v>17200</v>
      </c>
      <c r="G16" s="103">
        <f t="shared" si="1"/>
        <v>0</v>
      </c>
      <c r="H16" s="115">
        <f t="shared" si="10"/>
        <v>0</v>
      </c>
      <c r="I16" s="197">
        <f t="shared" si="2"/>
        <v>0</v>
      </c>
      <c r="J16" s="210">
        <f t="shared" si="11"/>
        <v>800</v>
      </c>
      <c r="K16" s="212">
        <f t="shared" si="3"/>
        <v>0</v>
      </c>
      <c r="L16" s="112">
        <f t="shared" si="4"/>
        <v>0</v>
      </c>
      <c r="M16" s="73" t="s">
        <v>84</v>
      </c>
      <c r="N16" s="113">
        <v>0</v>
      </c>
      <c r="O16" s="103">
        <f t="shared" si="5"/>
        <v>0</v>
      </c>
      <c r="P16" s="113">
        <f t="shared" si="12"/>
        <v>100000</v>
      </c>
      <c r="Q16" s="193">
        <f t="shared" si="6"/>
        <v>0</v>
      </c>
      <c r="R16" s="114">
        <f t="shared" si="13"/>
        <v>0</v>
      </c>
      <c r="S16" s="201">
        <f t="shared" si="7"/>
        <v>0</v>
      </c>
      <c r="T16" s="115">
        <v>0</v>
      </c>
      <c r="U16" s="30">
        <f t="shared" si="8"/>
        <v>0</v>
      </c>
    </row>
    <row r="17" spans="1:21" x14ac:dyDescent="0.2">
      <c r="A17" s="96">
        <v>10</v>
      </c>
      <c r="B17" s="112">
        <v>0</v>
      </c>
      <c r="C17" s="73" t="s">
        <v>85</v>
      </c>
      <c r="D17" s="113">
        <v>0</v>
      </c>
      <c r="E17" s="103">
        <f t="shared" si="0"/>
        <v>0</v>
      </c>
      <c r="F17" s="113">
        <f t="shared" si="9"/>
        <v>17200</v>
      </c>
      <c r="G17" s="103">
        <f t="shared" si="1"/>
        <v>0</v>
      </c>
      <c r="H17" s="115">
        <f t="shared" si="10"/>
        <v>0</v>
      </c>
      <c r="I17" s="197">
        <f t="shared" si="2"/>
        <v>0</v>
      </c>
      <c r="J17" s="210">
        <f t="shared" si="11"/>
        <v>800</v>
      </c>
      <c r="K17" s="212">
        <f t="shared" si="3"/>
        <v>0</v>
      </c>
      <c r="L17" s="112">
        <f t="shared" si="4"/>
        <v>0</v>
      </c>
      <c r="M17" s="73" t="s">
        <v>85</v>
      </c>
      <c r="N17" s="113">
        <v>0</v>
      </c>
      <c r="O17" s="103">
        <f t="shared" si="5"/>
        <v>0</v>
      </c>
      <c r="P17" s="113">
        <f t="shared" si="12"/>
        <v>100000</v>
      </c>
      <c r="Q17" s="193">
        <f t="shared" si="6"/>
        <v>0</v>
      </c>
      <c r="R17" s="114">
        <f t="shared" si="13"/>
        <v>0</v>
      </c>
      <c r="S17" s="201">
        <f t="shared" si="7"/>
        <v>0</v>
      </c>
      <c r="T17" s="115">
        <v>0</v>
      </c>
      <c r="U17" s="30">
        <f t="shared" si="8"/>
        <v>0</v>
      </c>
    </row>
    <row r="18" spans="1:21" x14ac:dyDescent="0.2">
      <c r="A18" s="96">
        <v>11</v>
      </c>
      <c r="B18" s="112">
        <v>0</v>
      </c>
      <c r="C18" s="73" t="s">
        <v>86</v>
      </c>
      <c r="D18" s="113">
        <v>0</v>
      </c>
      <c r="E18" s="103">
        <f t="shared" si="0"/>
        <v>0</v>
      </c>
      <c r="F18" s="113">
        <f t="shared" si="9"/>
        <v>17200</v>
      </c>
      <c r="G18" s="103">
        <f t="shared" si="1"/>
        <v>0</v>
      </c>
      <c r="H18" s="115">
        <f t="shared" si="10"/>
        <v>0</v>
      </c>
      <c r="I18" s="197">
        <f t="shared" si="2"/>
        <v>0</v>
      </c>
      <c r="J18" s="210">
        <f t="shared" si="11"/>
        <v>800</v>
      </c>
      <c r="K18" s="212">
        <f t="shared" si="3"/>
        <v>0</v>
      </c>
      <c r="L18" s="112">
        <f t="shared" si="4"/>
        <v>0</v>
      </c>
      <c r="M18" s="73" t="s">
        <v>86</v>
      </c>
      <c r="N18" s="113">
        <v>0</v>
      </c>
      <c r="O18" s="103">
        <f t="shared" si="5"/>
        <v>0</v>
      </c>
      <c r="P18" s="113">
        <f t="shared" si="12"/>
        <v>100000</v>
      </c>
      <c r="Q18" s="193">
        <f t="shared" si="6"/>
        <v>0</v>
      </c>
      <c r="R18" s="114">
        <f t="shared" si="13"/>
        <v>0</v>
      </c>
      <c r="S18" s="201">
        <f t="shared" si="7"/>
        <v>0</v>
      </c>
      <c r="T18" s="115">
        <v>0</v>
      </c>
      <c r="U18" s="30">
        <f t="shared" si="8"/>
        <v>0</v>
      </c>
    </row>
    <row r="19" spans="1:21" x14ac:dyDescent="0.2">
      <c r="A19" s="96">
        <v>12</v>
      </c>
      <c r="B19" s="112">
        <v>0</v>
      </c>
      <c r="C19" s="73" t="s">
        <v>87</v>
      </c>
      <c r="D19" s="113">
        <v>0</v>
      </c>
      <c r="E19" s="103">
        <f t="shared" si="0"/>
        <v>0</v>
      </c>
      <c r="F19" s="113">
        <f t="shared" si="9"/>
        <v>17200</v>
      </c>
      <c r="G19" s="103">
        <f t="shared" si="1"/>
        <v>0</v>
      </c>
      <c r="H19" s="115">
        <f t="shared" si="10"/>
        <v>0</v>
      </c>
      <c r="I19" s="197">
        <f t="shared" si="2"/>
        <v>0</v>
      </c>
      <c r="J19" s="210">
        <f t="shared" si="11"/>
        <v>800</v>
      </c>
      <c r="K19" s="212">
        <f t="shared" si="3"/>
        <v>0</v>
      </c>
      <c r="L19" s="112">
        <f t="shared" si="4"/>
        <v>0</v>
      </c>
      <c r="M19" s="73" t="s">
        <v>87</v>
      </c>
      <c r="N19" s="113">
        <v>0</v>
      </c>
      <c r="O19" s="103">
        <f t="shared" si="5"/>
        <v>0</v>
      </c>
      <c r="P19" s="113">
        <f t="shared" si="12"/>
        <v>100000</v>
      </c>
      <c r="Q19" s="193">
        <f t="shared" si="6"/>
        <v>0</v>
      </c>
      <c r="R19" s="114">
        <f t="shared" si="13"/>
        <v>0</v>
      </c>
      <c r="S19" s="201">
        <f t="shared" si="7"/>
        <v>0</v>
      </c>
      <c r="T19" s="115">
        <v>0</v>
      </c>
      <c r="U19" s="30">
        <f t="shared" si="8"/>
        <v>0</v>
      </c>
    </row>
    <row r="20" spans="1:21" x14ac:dyDescent="0.2">
      <c r="A20" s="96">
        <v>13</v>
      </c>
      <c r="B20" s="112">
        <v>0</v>
      </c>
      <c r="C20" s="73" t="s">
        <v>88</v>
      </c>
      <c r="D20" s="113">
        <v>0</v>
      </c>
      <c r="E20" s="103">
        <f t="shared" si="0"/>
        <v>0</v>
      </c>
      <c r="F20" s="113">
        <f t="shared" si="9"/>
        <v>17200</v>
      </c>
      <c r="G20" s="103">
        <f t="shared" si="1"/>
        <v>0</v>
      </c>
      <c r="H20" s="115">
        <f t="shared" si="10"/>
        <v>0</v>
      </c>
      <c r="I20" s="197">
        <f t="shared" si="2"/>
        <v>0</v>
      </c>
      <c r="J20" s="210">
        <f t="shared" si="11"/>
        <v>800</v>
      </c>
      <c r="K20" s="212">
        <f t="shared" si="3"/>
        <v>0</v>
      </c>
      <c r="L20" s="112">
        <f t="shared" si="4"/>
        <v>0</v>
      </c>
      <c r="M20" s="73" t="s">
        <v>88</v>
      </c>
      <c r="N20" s="113">
        <v>0</v>
      </c>
      <c r="O20" s="103">
        <f t="shared" si="5"/>
        <v>0</v>
      </c>
      <c r="P20" s="113">
        <f t="shared" si="12"/>
        <v>100000</v>
      </c>
      <c r="Q20" s="193">
        <f t="shared" si="6"/>
        <v>0</v>
      </c>
      <c r="R20" s="114">
        <f t="shared" si="13"/>
        <v>0</v>
      </c>
      <c r="S20" s="201">
        <f t="shared" si="7"/>
        <v>0</v>
      </c>
      <c r="T20" s="115">
        <v>0</v>
      </c>
      <c r="U20" s="30">
        <f t="shared" si="8"/>
        <v>0</v>
      </c>
    </row>
    <row r="21" spans="1:21" x14ac:dyDescent="0.2">
      <c r="A21" s="96">
        <v>14</v>
      </c>
      <c r="B21" s="112">
        <v>0</v>
      </c>
      <c r="C21" s="73" t="s">
        <v>89</v>
      </c>
      <c r="D21" s="113">
        <v>0</v>
      </c>
      <c r="E21" s="103">
        <f t="shared" si="0"/>
        <v>0</v>
      </c>
      <c r="F21" s="113">
        <f t="shared" si="9"/>
        <v>17200</v>
      </c>
      <c r="G21" s="103">
        <f t="shared" si="1"/>
        <v>0</v>
      </c>
      <c r="H21" s="115">
        <f t="shared" si="10"/>
        <v>0</v>
      </c>
      <c r="I21" s="197">
        <f t="shared" si="2"/>
        <v>0</v>
      </c>
      <c r="J21" s="210">
        <f t="shared" si="11"/>
        <v>800</v>
      </c>
      <c r="K21" s="212">
        <f t="shared" si="3"/>
        <v>0</v>
      </c>
      <c r="L21" s="112">
        <f t="shared" si="4"/>
        <v>0</v>
      </c>
      <c r="M21" s="73" t="s">
        <v>89</v>
      </c>
      <c r="N21" s="113">
        <v>0</v>
      </c>
      <c r="O21" s="103">
        <f t="shared" si="5"/>
        <v>0</v>
      </c>
      <c r="P21" s="113">
        <f t="shared" si="12"/>
        <v>100000</v>
      </c>
      <c r="Q21" s="193">
        <f t="shared" si="6"/>
        <v>0</v>
      </c>
      <c r="R21" s="114">
        <f t="shared" si="13"/>
        <v>0</v>
      </c>
      <c r="S21" s="201">
        <f t="shared" si="7"/>
        <v>0</v>
      </c>
      <c r="T21" s="115">
        <v>0</v>
      </c>
      <c r="U21" s="30">
        <f t="shared" si="8"/>
        <v>0</v>
      </c>
    </row>
    <row r="22" spans="1:21" ht="16" thickBot="1" x14ac:dyDescent="0.25">
      <c r="A22" s="96">
        <v>15</v>
      </c>
      <c r="B22" s="116">
        <v>0</v>
      </c>
      <c r="C22" s="117" t="s">
        <v>90</v>
      </c>
      <c r="D22" s="118">
        <v>0</v>
      </c>
      <c r="E22" s="192">
        <f t="shared" si="0"/>
        <v>0</v>
      </c>
      <c r="F22" s="118">
        <f t="shared" si="9"/>
        <v>17200</v>
      </c>
      <c r="G22" s="192">
        <f t="shared" si="1"/>
        <v>0</v>
      </c>
      <c r="H22" s="120">
        <f t="shared" si="10"/>
        <v>0</v>
      </c>
      <c r="I22" s="198">
        <f t="shared" si="2"/>
        <v>0</v>
      </c>
      <c r="J22" s="211">
        <f t="shared" si="11"/>
        <v>800</v>
      </c>
      <c r="K22" s="213">
        <f t="shared" si="3"/>
        <v>0</v>
      </c>
      <c r="L22" s="116">
        <f t="shared" si="4"/>
        <v>0</v>
      </c>
      <c r="M22" s="117" t="s">
        <v>90</v>
      </c>
      <c r="N22" s="118">
        <v>0</v>
      </c>
      <c r="O22" s="192">
        <f t="shared" si="5"/>
        <v>0</v>
      </c>
      <c r="P22" s="118">
        <f t="shared" si="12"/>
        <v>100000</v>
      </c>
      <c r="Q22" s="199">
        <f t="shared" si="6"/>
        <v>0</v>
      </c>
      <c r="R22" s="119">
        <f t="shared" si="13"/>
        <v>0</v>
      </c>
      <c r="S22" s="202">
        <f t="shared" si="7"/>
        <v>0</v>
      </c>
      <c r="T22" s="120">
        <v>0</v>
      </c>
      <c r="U22" s="30">
        <f t="shared" si="8"/>
        <v>0</v>
      </c>
    </row>
    <row r="23" spans="1:21" x14ac:dyDescent="0.2">
      <c r="B23" s="65"/>
      <c r="C23" s="101"/>
      <c r="D23" s="65"/>
      <c r="E23" s="193">
        <f>SUM(E8:E18)</f>
        <v>19000</v>
      </c>
      <c r="F23" s="65"/>
      <c r="G23" s="193">
        <f>SUM(G8:G18)</f>
        <v>1720000</v>
      </c>
      <c r="H23" s="104"/>
      <c r="I23" s="103">
        <f>SUM(I8:I18)</f>
        <v>0</v>
      </c>
      <c r="J23" s="103"/>
      <c r="K23" s="103">
        <f>SUM(K8:K18)</f>
        <v>80000</v>
      </c>
      <c r="L23" s="65"/>
      <c r="M23" s="102"/>
      <c r="N23" s="65"/>
      <c r="O23" s="193">
        <f>SUM(O8:O18)</f>
        <v>5500</v>
      </c>
      <c r="P23" s="65"/>
      <c r="Q23" s="193">
        <f>SUM(Q8:Q18)</f>
        <v>10000000</v>
      </c>
      <c r="R23" s="104"/>
      <c r="S23" s="103">
        <f>SUM(S8:S18)</f>
        <v>0</v>
      </c>
      <c r="T23" s="104"/>
      <c r="U23" s="30"/>
    </row>
    <row r="24" spans="1:21" x14ac:dyDescent="0.2">
      <c r="A24" s="105" t="s">
        <v>72</v>
      </c>
      <c r="B24" s="96">
        <f>SUM(B8:B22)</f>
        <v>100</v>
      </c>
      <c r="C24" s="105" t="s">
        <v>73</v>
      </c>
      <c r="D24" s="107">
        <f>E23/B24</f>
        <v>190</v>
      </c>
      <c r="E24" s="194"/>
      <c r="F24" s="108">
        <f>G23/B24</f>
        <v>17200</v>
      </c>
      <c r="G24" s="194"/>
      <c r="H24" s="95">
        <f>I23/B24</f>
        <v>0</v>
      </c>
      <c r="I24" s="194"/>
      <c r="J24" s="194">
        <f>K23/B24</f>
        <v>800</v>
      </c>
      <c r="K24" s="194"/>
      <c r="L24" s="96">
        <f>SUM(L8:L22)</f>
        <v>100</v>
      </c>
      <c r="M24" s="105" t="s">
        <v>73</v>
      </c>
      <c r="N24" s="107">
        <f>O23/L24</f>
        <v>55</v>
      </c>
      <c r="O24" s="194"/>
      <c r="P24" s="108">
        <f>Q23/L24</f>
        <v>100000</v>
      </c>
      <c r="Q24" s="194"/>
      <c r="R24" s="95">
        <f>S23/L24</f>
        <v>0</v>
      </c>
      <c r="S24" s="194"/>
      <c r="T24" s="96"/>
    </row>
    <row r="25" spans="1:21" x14ac:dyDescent="0.2">
      <c r="T25" s="105"/>
      <c r="U25" s="106">
        <f>SUM(U8:U22)</f>
        <v>32500</v>
      </c>
    </row>
  </sheetData>
  <mergeCells count="2">
    <mergeCell ref="B6:H6"/>
    <mergeCell ref="L6:T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tabSelected="1" topLeftCell="A17" workbookViewId="0">
      <selection activeCell="A35" sqref="A35"/>
    </sheetView>
  </sheetViews>
  <sheetFormatPr baseColWidth="10" defaultColWidth="8.83203125" defaultRowHeight="15" x14ac:dyDescent="0.2"/>
  <cols>
    <col min="1" max="1" width="34" customWidth="1"/>
    <col min="2" max="2" width="15.6640625" customWidth="1"/>
    <col min="3" max="3" width="5" customWidth="1"/>
    <col min="4" max="4" width="14" customWidth="1"/>
    <col min="7" max="7" width="10.5" customWidth="1"/>
  </cols>
  <sheetData>
    <row r="1" spans="1:7" ht="23" x14ac:dyDescent="0.25">
      <c r="A1" s="122" t="s">
        <v>103</v>
      </c>
    </row>
    <row r="2" spans="1:7" ht="23" x14ac:dyDescent="0.25">
      <c r="A2" s="122"/>
    </row>
    <row r="3" spans="1:7" ht="18" x14ac:dyDescent="0.2">
      <c r="A3" s="123" t="s">
        <v>140</v>
      </c>
    </row>
    <row r="4" spans="1:7" ht="16" x14ac:dyDescent="0.2">
      <c r="A4" s="124">
        <v>42583</v>
      </c>
      <c r="B4" s="125"/>
      <c r="C4" s="125"/>
      <c r="D4" s="125"/>
      <c r="E4" s="125"/>
      <c r="F4" s="125"/>
    </row>
    <row r="5" spans="1:7" ht="16" x14ac:dyDescent="0.2">
      <c r="A5" s="124"/>
      <c r="B5" s="125"/>
      <c r="C5" s="125"/>
      <c r="D5" s="125"/>
      <c r="E5" s="125"/>
      <c r="F5" s="125"/>
    </row>
    <row r="6" spans="1:7" ht="16" x14ac:dyDescent="0.2">
      <c r="A6" s="124"/>
      <c r="B6" s="125"/>
      <c r="C6" s="125"/>
      <c r="D6" s="125"/>
      <c r="E6" s="125"/>
      <c r="F6" s="125"/>
    </row>
    <row r="7" spans="1:7" ht="16" x14ac:dyDescent="0.2">
      <c r="A7" s="142" t="s">
        <v>119</v>
      </c>
      <c r="B7" s="126"/>
      <c r="C7" s="126"/>
      <c r="D7" s="126"/>
      <c r="E7" s="126"/>
      <c r="F7" s="126"/>
      <c r="G7" s="33"/>
    </row>
    <row r="8" spans="1:7" ht="16" x14ac:dyDescent="0.2">
      <c r="A8" s="142" t="s">
        <v>120</v>
      </c>
      <c r="B8" s="126"/>
      <c r="C8" s="126"/>
      <c r="D8" s="126"/>
      <c r="E8" s="126"/>
      <c r="F8" s="126"/>
      <c r="G8" s="33"/>
    </row>
    <row r="9" spans="1:7" ht="16" x14ac:dyDescent="0.2">
      <c r="A9" s="142" t="s">
        <v>121</v>
      </c>
      <c r="B9" s="126"/>
      <c r="C9" s="126"/>
      <c r="D9" s="126"/>
      <c r="E9" s="126"/>
      <c r="F9" s="126"/>
      <c r="G9" s="33"/>
    </row>
    <row r="10" spans="1:7" ht="16" x14ac:dyDescent="0.2">
      <c r="A10" s="142" t="s">
        <v>122</v>
      </c>
      <c r="B10" s="126"/>
      <c r="C10" s="126"/>
      <c r="D10" s="126"/>
      <c r="E10" s="126"/>
      <c r="F10" s="126"/>
      <c r="G10" s="33"/>
    </row>
    <row r="11" spans="1:7" ht="16" x14ac:dyDescent="0.2">
      <c r="A11" s="142" t="s">
        <v>123</v>
      </c>
      <c r="B11" s="126"/>
      <c r="C11" s="126"/>
      <c r="D11" s="126"/>
      <c r="E11" s="126"/>
      <c r="F11" s="126"/>
      <c r="G11" s="33"/>
    </row>
    <row r="12" spans="1:7" ht="16" x14ac:dyDescent="0.2">
      <c r="A12" s="142"/>
      <c r="B12" s="126"/>
      <c r="C12" s="126"/>
      <c r="D12" s="126"/>
      <c r="E12" s="126"/>
      <c r="F12" s="126"/>
      <c r="G12" s="33"/>
    </row>
    <row r="13" spans="1:7" ht="16" x14ac:dyDescent="0.2">
      <c r="A13" s="143" t="s">
        <v>139</v>
      </c>
      <c r="B13" s="129">
        <f>'Savings Detail'!N12</f>
        <v>207209.30232558138</v>
      </c>
      <c r="C13" s="126"/>
      <c r="D13" s="126"/>
      <c r="E13" s="126"/>
      <c r="F13" s="126"/>
      <c r="G13" s="33"/>
    </row>
    <row r="15" spans="1:7" ht="16" x14ac:dyDescent="0.2">
      <c r="A15" s="143" t="s">
        <v>92</v>
      </c>
      <c r="B15" s="144">
        <f>'Savings Detail'!N11</f>
        <v>5.3756708407871194</v>
      </c>
      <c r="C15" s="126"/>
      <c r="D15" s="126"/>
      <c r="E15" s="126"/>
      <c r="F15" s="126"/>
      <c r="G15" s="33"/>
    </row>
    <row r="16" spans="1:7" ht="16" x14ac:dyDescent="0.2">
      <c r="A16" s="143"/>
      <c r="B16" s="128"/>
      <c r="C16" s="126"/>
      <c r="D16" s="126"/>
      <c r="E16" s="126"/>
      <c r="F16" s="126"/>
      <c r="G16" s="33"/>
    </row>
    <row r="17" spans="1:10" ht="16" x14ac:dyDescent="0.2">
      <c r="A17" s="143" t="s">
        <v>107</v>
      </c>
      <c r="B17" s="144">
        <f>'Savings Detail'!J8</f>
        <v>0.71052631578947367</v>
      </c>
      <c r="C17" s="126"/>
      <c r="D17" s="126"/>
      <c r="E17" s="126"/>
      <c r="F17" s="126"/>
      <c r="G17" s="33"/>
    </row>
    <row r="18" spans="1:10" ht="16" x14ac:dyDescent="0.2">
      <c r="A18" s="143" t="s">
        <v>106</v>
      </c>
      <c r="B18" s="144">
        <f>'Savings Detail'!L8</f>
        <v>0.82799999999999996</v>
      </c>
      <c r="C18" s="126"/>
      <c r="D18" s="126"/>
      <c r="E18" s="126"/>
      <c r="F18" s="126"/>
      <c r="G18" s="33"/>
    </row>
    <row r="19" spans="1:10" ht="16" x14ac:dyDescent="0.2">
      <c r="A19" s="143"/>
      <c r="B19" s="144"/>
      <c r="C19" s="126"/>
      <c r="D19" s="126"/>
      <c r="E19" s="126"/>
      <c r="F19" s="126"/>
      <c r="G19" s="33"/>
    </row>
    <row r="20" spans="1:10" ht="16" x14ac:dyDescent="0.2">
      <c r="A20" s="143" t="s">
        <v>44</v>
      </c>
      <c r="B20" s="207">
        <f>'Savings Detail'!N15</f>
        <v>3.6475869809203143</v>
      </c>
      <c r="C20" s="126" t="s">
        <v>95</v>
      </c>
      <c r="D20" s="126"/>
      <c r="E20" s="126"/>
      <c r="F20" s="126"/>
      <c r="G20" s="33"/>
    </row>
    <row r="21" spans="1:10" ht="16" x14ac:dyDescent="0.2">
      <c r="A21" s="127" t="s">
        <v>102</v>
      </c>
      <c r="B21" s="135">
        <f>'1. Fixture Inputs'!P24/'1. Fixture Inputs'!D5</f>
        <v>23.255813953488371</v>
      </c>
      <c r="C21" s="131" t="s">
        <v>95</v>
      </c>
      <c r="D21" s="126"/>
      <c r="E21" s="126"/>
      <c r="F21" s="126"/>
      <c r="G21" s="33"/>
    </row>
    <row r="22" spans="1:10" ht="16" hidden="1" x14ac:dyDescent="0.2">
      <c r="A22" s="143" t="s">
        <v>117</v>
      </c>
      <c r="B22" s="224">
        <f>'Savings Detail'!N18</f>
        <v>-15869.999999999998</v>
      </c>
      <c r="C22" s="126"/>
      <c r="D22" s="126"/>
      <c r="E22" s="126"/>
      <c r="F22" s="126"/>
      <c r="G22" s="33"/>
    </row>
    <row r="23" spans="1:10" ht="16" hidden="1" x14ac:dyDescent="0.2">
      <c r="A23" s="143" t="s">
        <v>118</v>
      </c>
      <c r="B23" s="224">
        <f>'Savings Detail'!N19</f>
        <v>-4145</v>
      </c>
      <c r="C23" s="126"/>
      <c r="D23" s="126"/>
      <c r="E23" s="126"/>
      <c r="F23" s="126"/>
      <c r="G23" s="33"/>
    </row>
    <row r="24" spans="1:10" ht="16" hidden="1" x14ac:dyDescent="0.2">
      <c r="C24" s="33"/>
      <c r="D24" s="33"/>
      <c r="E24" s="126"/>
      <c r="F24" s="126"/>
      <c r="G24" s="33"/>
    </row>
    <row r="25" spans="1:10" ht="16" x14ac:dyDescent="0.2">
      <c r="C25" s="33"/>
      <c r="D25" s="33"/>
      <c r="E25" s="126"/>
      <c r="F25" s="126"/>
      <c r="G25" s="33"/>
    </row>
    <row r="26" spans="1:10" ht="16" x14ac:dyDescent="0.2">
      <c r="A26" s="130" t="s">
        <v>93</v>
      </c>
      <c r="B26" s="131"/>
      <c r="C26" s="33"/>
      <c r="D26" s="131"/>
      <c r="E26" s="126"/>
      <c r="F26" s="126"/>
      <c r="G26" s="33"/>
    </row>
    <row r="27" spans="1:10" ht="16" x14ac:dyDescent="0.2">
      <c r="A27" s="132" t="s">
        <v>129</v>
      </c>
      <c r="B27" s="223">
        <f>Environmental!C5</f>
        <v>2072250</v>
      </c>
      <c r="C27" s="137" t="s">
        <v>130</v>
      </c>
      <c r="F27" s="126"/>
      <c r="G27" s="33"/>
    </row>
    <row r="28" spans="1:10" ht="16" x14ac:dyDescent="0.2">
      <c r="A28" s="132" t="s">
        <v>105</v>
      </c>
      <c r="B28" s="206">
        <f>'Savings Detail'!F14</f>
        <v>13.5</v>
      </c>
      <c r="C28" s="221" t="s">
        <v>104</v>
      </c>
      <c r="F28" s="126"/>
      <c r="G28" s="33"/>
    </row>
    <row r="29" spans="1:10" x14ac:dyDescent="0.2">
      <c r="H29" s="33"/>
      <c r="I29" s="33"/>
      <c r="J29" s="33"/>
    </row>
    <row r="30" spans="1:10" ht="16" x14ac:dyDescent="0.2">
      <c r="A30" s="130" t="s">
        <v>94</v>
      </c>
      <c r="B30" s="134">
        <f>'1. Fixture Inputs'!L24</f>
        <v>100</v>
      </c>
      <c r="C30" s="141" t="s">
        <v>134</v>
      </c>
      <c r="D30" s="126"/>
      <c r="E30" s="126"/>
      <c r="F30" s="126"/>
      <c r="G30" s="33"/>
      <c r="H30" s="33"/>
      <c r="I30" s="33"/>
      <c r="J30" s="33"/>
    </row>
    <row r="31" spans="1:10" ht="16" x14ac:dyDescent="0.2">
      <c r="D31" s="126"/>
      <c r="E31" s="126"/>
      <c r="F31" s="126"/>
      <c r="G31" s="33"/>
      <c r="H31" s="33"/>
      <c r="I31" s="33"/>
      <c r="J31" s="33"/>
    </row>
    <row r="32" spans="1:10" ht="16" x14ac:dyDescent="0.2">
      <c r="A32" s="127" t="s">
        <v>133</v>
      </c>
      <c r="B32" s="222">
        <f>B13/B21</f>
        <v>8910</v>
      </c>
      <c r="C32" s="131" t="s">
        <v>132</v>
      </c>
      <c r="D32" s="126"/>
      <c r="E32" s="126"/>
      <c r="F32" s="126"/>
      <c r="G32" s="33"/>
      <c r="H32" s="33"/>
      <c r="I32" s="33"/>
      <c r="J32" s="33"/>
    </row>
    <row r="33" spans="1:10" ht="16" x14ac:dyDescent="0.2">
      <c r="A33" s="33"/>
      <c r="B33" s="132"/>
      <c r="C33" s="133"/>
      <c r="D33" s="126"/>
      <c r="E33" s="126"/>
      <c r="F33" s="126"/>
      <c r="G33" s="33"/>
      <c r="H33" s="33"/>
      <c r="I33" s="33"/>
      <c r="J33" s="33"/>
    </row>
    <row r="34" spans="1:10" x14ac:dyDescent="0.2">
      <c r="H34" s="33"/>
      <c r="I34" s="33"/>
      <c r="J34" s="33"/>
    </row>
    <row r="35" spans="1:10" ht="16" x14ac:dyDescent="0.2">
      <c r="A35" s="215" t="s">
        <v>143</v>
      </c>
      <c r="B35" s="215"/>
      <c r="C35" s="215"/>
      <c r="D35" s="215"/>
      <c r="E35" s="215"/>
      <c r="F35" s="215"/>
      <c r="G35" s="215"/>
      <c r="H35" s="33"/>
      <c r="I35" s="33"/>
      <c r="J35" s="33"/>
    </row>
    <row r="36" spans="1:10" ht="16" x14ac:dyDescent="0.2">
      <c r="A36" s="215" t="s">
        <v>131</v>
      </c>
      <c r="B36" s="215"/>
      <c r="C36" s="215"/>
      <c r="D36" s="215"/>
      <c r="E36" s="215"/>
      <c r="F36" s="215"/>
      <c r="G36" s="215"/>
      <c r="H36" s="33"/>
      <c r="I36" s="33"/>
      <c r="J36" s="33"/>
    </row>
    <row r="37" spans="1:10" ht="16" x14ac:dyDescent="0.2">
      <c r="A37" s="215" t="s">
        <v>135</v>
      </c>
      <c r="B37" s="215"/>
      <c r="C37" s="215"/>
      <c r="D37" s="215"/>
      <c r="E37" s="215"/>
      <c r="F37" s="215"/>
      <c r="G37" s="215"/>
      <c r="H37" s="33"/>
      <c r="I37" s="33"/>
      <c r="J37" s="33"/>
    </row>
    <row r="38" spans="1:10" ht="16" x14ac:dyDescent="0.2">
      <c r="A38" s="215" t="s">
        <v>136</v>
      </c>
      <c r="B38" s="215"/>
      <c r="C38" s="215"/>
      <c r="D38" s="215"/>
      <c r="E38" s="215"/>
      <c r="F38" s="215"/>
      <c r="G38" s="215"/>
      <c r="H38" s="33"/>
      <c r="I38" s="33"/>
      <c r="J38" s="33"/>
    </row>
    <row r="39" spans="1:10" ht="16" x14ac:dyDescent="0.2">
      <c r="A39" s="127"/>
      <c r="B39" s="136"/>
      <c r="C39" s="126"/>
      <c r="D39" s="126"/>
      <c r="E39" s="126"/>
      <c r="F39" s="126"/>
      <c r="G39" s="33"/>
      <c r="H39" s="33"/>
      <c r="I39" s="33"/>
      <c r="J39" s="33"/>
    </row>
    <row r="40" spans="1:10" ht="16" x14ac:dyDescent="0.2">
      <c r="A40" s="215" t="s">
        <v>124</v>
      </c>
      <c r="B40" s="215"/>
      <c r="C40" s="215"/>
      <c r="D40" s="215"/>
      <c r="E40" s="215"/>
      <c r="F40" s="215"/>
      <c r="G40" s="215"/>
      <c r="H40" s="33"/>
      <c r="I40" s="33"/>
      <c r="J40" s="33"/>
    </row>
    <row r="41" spans="1:10" ht="16" x14ac:dyDescent="0.2">
      <c r="A41" s="215" t="s">
        <v>125</v>
      </c>
      <c r="B41" s="215"/>
      <c r="C41" s="215"/>
      <c r="D41" s="215"/>
      <c r="E41" s="215"/>
      <c r="F41" s="215"/>
      <c r="G41" s="215"/>
      <c r="H41" s="33"/>
      <c r="I41" s="33"/>
      <c r="J41" s="33"/>
    </row>
    <row r="42" spans="1:10" ht="16" x14ac:dyDescent="0.2">
      <c r="A42" s="215" t="s">
        <v>126</v>
      </c>
      <c r="B42" s="215"/>
      <c r="C42" s="215"/>
      <c r="D42" s="215"/>
      <c r="E42" s="215"/>
      <c r="F42" s="215"/>
      <c r="G42" s="215"/>
      <c r="H42" s="33"/>
      <c r="I42" s="33"/>
      <c r="J42" s="33"/>
    </row>
    <row r="43" spans="1:10" ht="16" x14ac:dyDescent="0.2">
      <c r="A43" s="215"/>
      <c r="B43" s="215"/>
      <c r="C43" s="215"/>
      <c r="D43" s="215"/>
      <c r="E43" s="215"/>
      <c r="F43" s="215"/>
      <c r="G43" s="215"/>
      <c r="H43" s="33"/>
      <c r="I43" s="33"/>
      <c r="J43" s="33"/>
    </row>
    <row r="44" spans="1:10" ht="16" x14ac:dyDescent="0.2">
      <c r="A44" s="126" t="s">
        <v>96</v>
      </c>
      <c r="B44" s="126"/>
      <c r="C44" s="126"/>
      <c r="D44" s="126"/>
      <c r="E44" s="126"/>
      <c r="F44" s="126"/>
      <c r="G44" s="33"/>
      <c r="H44" s="33"/>
      <c r="I44" s="33"/>
      <c r="J44" s="33"/>
    </row>
    <row r="45" spans="1:10" ht="16" x14ac:dyDescent="0.2">
      <c r="A45" s="126"/>
      <c r="B45" s="126"/>
      <c r="C45" s="126"/>
      <c r="D45" s="126"/>
      <c r="E45" s="126"/>
      <c r="F45" s="126"/>
      <c r="G45" s="33"/>
      <c r="H45" s="33"/>
      <c r="I45" s="33"/>
      <c r="J45" s="33"/>
    </row>
    <row r="46" spans="1:10" ht="16" x14ac:dyDescent="0.2">
      <c r="A46" s="137" t="s">
        <v>97</v>
      </c>
      <c r="B46" s="126"/>
      <c r="C46" s="126"/>
      <c r="D46" s="126"/>
      <c r="E46" s="126"/>
      <c r="F46" s="126"/>
      <c r="G46" s="33"/>
      <c r="H46" s="33"/>
      <c r="I46" s="33"/>
      <c r="J46" s="33"/>
    </row>
    <row r="47" spans="1:10" ht="16" x14ac:dyDescent="0.2">
      <c r="A47" s="137"/>
      <c r="B47" s="126"/>
      <c r="C47" s="126"/>
      <c r="D47" s="126"/>
      <c r="E47" s="126"/>
      <c r="F47" s="126"/>
      <c r="G47" s="33"/>
      <c r="H47" s="33"/>
      <c r="I47" s="33"/>
      <c r="J47" s="33"/>
    </row>
    <row r="48" spans="1:10" ht="16" x14ac:dyDescent="0.2">
      <c r="A48" s="137"/>
      <c r="B48" s="126"/>
      <c r="C48" s="126"/>
      <c r="D48" s="126"/>
      <c r="E48" s="126"/>
      <c r="F48" s="126"/>
      <c r="G48" s="33"/>
      <c r="H48" s="33"/>
      <c r="I48" s="33"/>
      <c r="J48" s="33"/>
    </row>
    <row r="49" spans="1:10" ht="16" x14ac:dyDescent="0.2">
      <c r="A49" s="126"/>
      <c r="B49" s="126"/>
      <c r="C49" s="126"/>
      <c r="D49" s="126"/>
      <c r="E49" s="126"/>
      <c r="F49" s="126"/>
      <c r="G49" s="33"/>
      <c r="H49" s="33"/>
      <c r="I49" s="33"/>
      <c r="J49" s="33"/>
    </row>
    <row r="50" spans="1:10" ht="16" x14ac:dyDescent="0.2">
      <c r="A50" s="126"/>
      <c r="B50" s="126"/>
      <c r="C50" s="126"/>
      <c r="D50" s="126"/>
      <c r="E50" s="126"/>
      <c r="F50" s="126"/>
      <c r="G50" s="33"/>
    </row>
    <row r="51" spans="1:10" ht="16" x14ac:dyDescent="0.2">
      <c r="A51" s="126" t="s">
        <v>141</v>
      </c>
      <c r="B51" s="33"/>
      <c r="C51" s="126"/>
      <c r="D51" s="126"/>
      <c r="E51" s="126"/>
      <c r="F51" s="126"/>
      <c r="G51" s="33"/>
    </row>
    <row r="52" spans="1:10" ht="16" x14ac:dyDescent="0.2">
      <c r="A52" s="126" t="s">
        <v>142</v>
      </c>
      <c r="B52" s="33"/>
      <c r="C52" s="126"/>
      <c r="D52" s="126"/>
      <c r="E52" s="126"/>
      <c r="F52" s="126"/>
      <c r="G52" s="33"/>
    </row>
    <row r="53" spans="1:10" ht="16" x14ac:dyDescent="0.2">
      <c r="A53" s="33"/>
      <c r="B53" s="33"/>
      <c r="C53" s="126"/>
      <c r="D53" s="126"/>
      <c r="E53" s="126"/>
      <c r="F53" s="126"/>
      <c r="G53" s="33"/>
    </row>
    <row r="54" spans="1:10" s="139" customFormat="1" ht="10.5" customHeight="1" x14ac:dyDescent="0.15">
      <c r="A54" s="138"/>
      <c r="B54" s="138"/>
      <c r="C54" s="138"/>
      <c r="D54" s="138"/>
      <c r="E54" s="138"/>
      <c r="F54" s="138"/>
      <c r="G54" s="138"/>
    </row>
    <row r="55" spans="1:10" s="139" customFormat="1" ht="10.5" customHeight="1" x14ac:dyDescent="0.15">
      <c r="A55" s="138" t="s">
        <v>98</v>
      </c>
      <c r="B55" s="138"/>
      <c r="C55" s="138"/>
      <c r="D55" s="138"/>
      <c r="E55" s="138"/>
      <c r="F55" s="138"/>
      <c r="G55" s="138"/>
    </row>
    <row r="56" spans="1:10" s="139" customFormat="1" ht="10.5" customHeight="1" x14ac:dyDescent="0.15">
      <c r="A56" s="138" t="s">
        <v>99</v>
      </c>
      <c r="B56" s="138"/>
      <c r="C56" s="138"/>
      <c r="D56" s="138"/>
      <c r="E56" s="138"/>
      <c r="F56" s="138"/>
      <c r="G56" s="138"/>
    </row>
    <row r="57" spans="1:10" s="139" customFormat="1" ht="10.5" customHeight="1" x14ac:dyDescent="0.15">
      <c r="A57" s="138" t="s">
        <v>100</v>
      </c>
      <c r="B57" s="138"/>
      <c r="C57" s="138"/>
      <c r="D57" s="138"/>
      <c r="E57" s="138"/>
      <c r="F57" s="138"/>
      <c r="G57" s="138"/>
    </row>
    <row r="58" spans="1:10" s="139" customFormat="1" ht="10.5" customHeight="1" x14ac:dyDescent="0.15">
      <c r="A58" s="138" t="s">
        <v>101</v>
      </c>
      <c r="B58" s="140"/>
      <c r="C58" s="140"/>
      <c r="D58" s="140"/>
      <c r="E58" s="140"/>
      <c r="F58" s="140"/>
      <c r="G58" s="140"/>
    </row>
  </sheetData>
  <protectedRanges>
    <protectedRange sqref="A3:A6 A51" name="Range1"/>
  </protectedRanges>
  <pageMargins left="0.7" right="0.7" top="0.75" bottom="0.75" header="0.3" footer="0.3"/>
  <pageSetup scale="7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6"/>
  <sheetViews>
    <sheetView zoomScale="80" zoomScaleNormal="80" workbookViewId="0"/>
  </sheetViews>
  <sheetFormatPr baseColWidth="10" defaultColWidth="8.83203125" defaultRowHeight="15" x14ac:dyDescent="0.2"/>
  <cols>
    <col min="1" max="1" width="27.83203125" customWidth="1"/>
    <col min="2" max="2" width="11.5" customWidth="1"/>
    <col min="3" max="3" width="10.5" customWidth="1"/>
    <col min="4" max="5" width="9.1640625" customWidth="1"/>
    <col min="6" max="6" width="16.6640625" customWidth="1"/>
    <col min="7" max="8" width="10.33203125" customWidth="1"/>
    <col min="9" max="9" width="20" customWidth="1"/>
    <col min="10" max="10" width="9.5" customWidth="1"/>
    <col min="11" max="11" width="14" customWidth="1"/>
    <col min="12" max="12" width="9.33203125" customWidth="1"/>
    <col min="13" max="13" width="13.5" customWidth="1"/>
    <col min="14" max="14" width="17.6640625" customWidth="1"/>
    <col min="18" max="18" width="13.1640625" bestFit="1" customWidth="1"/>
    <col min="21" max="21" width="14.83203125" bestFit="1" customWidth="1"/>
  </cols>
  <sheetData>
    <row r="1" spans="1:18" ht="20" x14ac:dyDescent="0.2">
      <c r="A1" s="69" t="s">
        <v>112</v>
      </c>
      <c r="B1" s="69"/>
      <c r="C1" s="19"/>
      <c r="D1" s="19"/>
      <c r="E1" s="19"/>
      <c r="F1" s="19"/>
      <c r="G1" s="19"/>
      <c r="H1" s="19"/>
      <c r="I1" s="19"/>
      <c r="L1" s="19"/>
      <c r="M1" s="19"/>
      <c r="N1" s="19"/>
    </row>
    <row r="2" spans="1:18" ht="18" x14ac:dyDescent="0.2">
      <c r="A2" s="71"/>
      <c r="B2" s="71"/>
      <c r="C2" s="72"/>
      <c r="D2" s="19"/>
      <c r="E2" s="19"/>
      <c r="F2" s="181"/>
      <c r="G2" s="182"/>
      <c r="H2" s="182"/>
      <c r="I2" s="182"/>
      <c r="J2" s="183"/>
      <c r="K2" s="33"/>
      <c r="L2" s="19"/>
      <c r="M2" s="19"/>
      <c r="N2" s="19"/>
    </row>
    <row r="3" spans="1:18" x14ac:dyDescent="0.2">
      <c r="A3" s="82" t="s">
        <v>0</v>
      </c>
      <c r="B3" s="184">
        <f>'1. Fixture Inputs'!D3</f>
        <v>0.1</v>
      </c>
      <c r="C3" s="182"/>
      <c r="D3" s="84"/>
      <c r="E3" s="81"/>
      <c r="F3" s="181"/>
      <c r="G3" s="182"/>
      <c r="H3" s="182"/>
      <c r="I3" s="182"/>
      <c r="J3" s="183"/>
      <c r="K3" s="33"/>
      <c r="N3" s="19"/>
      <c r="P3" s="20"/>
      <c r="Q3" s="20"/>
      <c r="R3" s="20"/>
    </row>
    <row r="4" spans="1:18" x14ac:dyDescent="0.2">
      <c r="A4" s="82" t="s">
        <v>2</v>
      </c>
      <c r="B4" s="185">
        <f>'1. Fixture Inputs'!D4</f>
        <v>150</v>
      </c>
      <c r="C4" s="182"/>
      <c r="D4" s="86"/>
      <c r="E4" s="81"/>
      <c r="F4" s="181"/>
      <c r="G4" s="182"/>
      <c r="H4" s="182"/>
      <c r="I4" s="182"/>
      <c r="J4" s="183"/>
      <c r="K4" s="33"/>
      <c r="N4" s="19"/>
      <c r="P4" s="20"/>
      <c r="Q4" s="20"/>
      <c r="R4" s="20"/>
    </row>
    <row r="5" spans="1:18" ht="16" thickBot="1" x14ac:dyDescent="0.25">
      <c r="A5" s="82" t="s">
        <v>62</v>
      </c>
      <c r="B5" s="186">
        <f>'1. Fixture Inputs'!D5</f>
        <v>4300</v>
      </c>
      <c r="C5" s="86"/>
      <c r="D5" s="86"/>
      <c r="E5" s="81"/>
      <c r="F5" s="20"/>
      <c r="G5" s="20"/>
      <c r="H5" s="20"/>
      <c r="I5" s="20"/>
      <c r="J5" s="81"/>
      <c r="K5" s="19"/>
      <c r="L5" s="19"/>
      <c r="M5" s="19"/>
      <c r="N5" s="19"/>
    </row>
    <row r="6" spans="1:18" ht="16" thickBot="1" x14ac:dyDescent="0.25">
      <c r="A6" s="31"/>
      <c r="B6" s="98"/>
      <c r="C6" s="98"/>
      <c r="D6" s="31"/>
      <c r="E6" s="31"/>
      <c r="F6" s="31"/>
      <c r="G6" s="31"/>
      <c r="H6" s="31"/>
      <c r="I6" s="31"/>
      <c r="J6" s="229" t="s">
        <v>10</v>
      </c>
      <c r="K6" s="230"/>
      <c r="L6" s="230"/>
      <c r="M6" s="230"/>
      <c r="N6" s="231"/>
    </row>
    <row r="7" spans="1:18" ht="39" x14ac:dyDescent="0.2">
      <c r="A7" s="32" t="s">
        <v>66</v>
      </c>
      <c r="B7" s="187" t="s">
        <v>60</v>
      </c>
      <c r="C7" s="188" t="s">
        <v>3</v>
      </c>
      <c r="D7" s="21" t="s">
        <v>4</v>
      </c>
      <c r="E7" s="21" t="s">
        <v>5</v>
      </c>
      <c r="F7" s="21" t="s">
        <v>6</v>
      </c>
      <c r="G7" s="21" t="s">
        <v>11</v>
      </c>
      <c r="H7" s="21" t="s">
        <v>24</v>
      </c>
      <c r="I7" s="21" t="s">
        <v>25</v>
      </c>
      <c r="J7" s="22" t="s">
        <v>7</v>
      </c>
      <c r="K7" s="21" t="s">
        <v>8</v>
      </c>
      <c r="L7" s="32" t="s">
        <v>65</v>
      </c>
      <c r="M7" s="78" t="s">
        <v>9</v>
      </c>
      <c r="N7" s="23" t="s">
        <v>12</v>
      </c>
      <c r="O7" s="94"/>
    </row>
    <row r="8" spans="1:18" x14ac:dyDescent="0.2">
      <c r="A8" s="172" t="s">
        <v>108</v>
      </c>
      <c r="B8" s="189">
        <f>'1. Fixture Inputs'!H24</f>
        <v>0</v>
      </c>
      <c r="C8" s="190">
        <f>'1. Fixture Inputs'!B24</f>
        <v>100</v>
      </c>
      <c r="D8" s="205">
        <f>'1. Fixture Inputs'!F24/'1. Fixture Inputs'!D5</f>
        <v>4</v>
      </c>
      <c r="E8" s="204">
        <f>'1. Fixture Inputs'!D24</f>
        <v>190</v>
      </c>
      <c r="F8" s="174" t="s">
        <v>109</v>
      </c>
      <c r="G8" s="204">
        <f>'1. Fixture Inputs'!N24</f>
        <v>55</v>
      </c>
      <c r="H8" s="173">
        <f>'1. Fixture Inputs'!E23-'1. Fixture Inputs'!O23</f>
        <v>13500</v>
      </c>
      <c r="I8" s="175">
        <f>H8*100000</f>
        <v>1350000000</v>
      </c>
      <c r="J8" s="176">
        <f>(E8-G8)/E8</f>
        <v>0.71052631578947367</v>
      </c>
      <c r="K8" s="177">
        <f>I8/1000*$B$3</f>
        <v>135000</v>
      </c>
      <c r="L8" s="178">
        <f>((100000/$B$5)-D8)/(100000/$B$5)</f>
        <v>0.82799999999999996</v>
      </c>
      <c r="M8" s="179">
        <f>((((100000/$B$5)/D8)-1)*$B$4)*C8</f>
        <v>72209.30232558139</v>
      </c>
      <c r="N8" s="180">
        <f>M8+K8</f>
        <v>207209.30232558138</v>
      </c>
      <c r="O8" s="94"/>
    </row>
    <row r="9" spans="1:18" x14ac:dyDescent="0.2">
      <c r="A9" s="170"/>
      <c r="B9" s="171"/>
      <c r="C9" s="98"/>
      <c r="D9" s="19"/>
      <c r="E9" s="19"/>
      <c r="F9" s="19"/>
      <c r="G9" s="19"/>
      <c r="H9" s="19"/>
      <c r="J9" s="19"/>
      <c r="K9" s="19"/>
      <c r="L9" s="19"/>
    </row>
    <row r="10" spans="1:18" ht="16" x14ac:dyDescent="0.2">
      <c r="A10" s="170"/>
      <c r="B10" s="171"/>
      <c r="C10" s="31"/>
      <c r="D10" s="19"/>
      <c r="E10" s="19"/>
      <c r="F10" s="19"/>
      <c r="G10" s="19"/>
      <c r="H10" s="19"/>
      <c r="I10" s="24"/>
      <c r="J10" s="19"/>
      <c r="K10" s="228" t="s">
        <v>57</v>
      </c>
      <c r="L10" s="228"/>
      <c r="M10" s="228"/>
      <c r="N10" s="228"/>
    </row>
    <row r="11" spans="1:18" ht="16" x14ac:dyDescent="0.2">
      <c r="A11" s="88"/>
      <c r="B11" s="88"/>
      <c r="C11" s="88"/>
      <c r="D11" s="1"/>
      <c r="E11" s="1"/>
      <c r="F11" s="1"/>
      <c r="G11" s="27"/>
      <c r="H11" s="27"/>
      <c r="I11" s="79"/>
      <c r="J11" s="27"/>
      <c r="K11" s="27"/>
      <c r="L11" s="26"/>
      <c r="M11" s="28" t="s">
        <v>28</v>
      </c>
      <c r="N11" s="58">
        <f>(N12-N14)/N14</f>
        <v>5.3756708407871194</v>
      </c>
    </row>
    <row r="12" spans="1:18" ht="16" x14ac:dyDescent="0.2">
      <c r="A12" s="1"/>
      <c r="B12" s="1"/>
      <c r="C12" s="1"/>
      <c r="D12" s="1"/>
      <c r="E12" s="1"/>
      <c r="F12" s="1"/>
      <c r="G12" s="27"/>
      <c r="H12" s="27"/>
      <c r="I12" s="27"/>
      <c r="J12" s="27"/>
      <c r="K12" s="27"/>
      <c r="L12" s="26"/>
      <c r="M12" s="54" t="s">
        <v>1</v>
      </c>
      <c r="N12" s="93">
        <f>SUM(N8:N8)</f>
        <v>207209.30232558138</v>
      </c>
    </row>
    <row r="13" spans="1:18" ht="16" x14ac:dyDescent="0.2">
      <c r="A13" s="228" t="s">
        <v>59</v>
      </c>
      <c r="B13" s="228"/>
      <c r="C13" s="228"/>
      <c r="D13" s="228"/>
      <c r="E13" s="228"/>
      <c r="F13" s="228"/>
      <c r="G13" s="27"/>
      <c r="H13" s="27"/>
      <c r="I13" s="27"/>
      <c r="J13" s="27"/>
      <c r="K13" s="27"/>
      <c r="L13" s="26"/>
      <c r="M13" s="54" t="s">
        <v>13</v>
      </c>
      <c r="N13" s="93">
        <f>N12/(100000/B5)</f>
        <v>8910</v>
      </c>
    </row>
    <row r="14" spans="1:18" ht="16" x14ac:dyDescent="0.2">
      <c r="A14" s="27"/>
      <c r="C14" s="28" t="s">
        <v>39</v>
      </c>
      <c r="D14" s="27"/>
      <c r="E14" s="27"/>
      <c r="F14" s="51">
        <f>(((I8)/(100000/B5))/B5)/1000</f>
        <v>13.5</v>
      </c>
      <c r="G14" s="27"/>
      <c r="H14" s="27"/>
      <c r="I14" s="27"/>
      <c r="J14" s="27"/>
      <c r="K14" s="27"/>
      <c r="L14" s="26"/>
      <c r="M14" s="28" t="s">
        <v>29</v>
      </c>
      <c r="N14" s="90">
        <f>'1. Fixture Inputs'!U25</f>
        <v>32500</v>
      </c>
    </row>
    <row r="15" spans="1:18" ht="15.75" customHeight="1" x14ac:dyDescent="0.2">
      <c r="A15" s="1"/>
      <c r="B15" s="27"/>
      <c r="C15" s="25" t="s">
        <v>26</v>
      </c>
      <c r="D15" s="26"/>
      <c r="E15" s="26"/>
      <c r="F15" s="52">
        <f>Environmental!C5</f>
        <v>2072250</v>
      </c>
      <c r="G15" s="27"/>
      <c r="H15" s="27"/>
      <c r="I15" s="27"/>
      <c r="J15" s="27"/>
      <c r="K15" s="27"/>
      <c r="L15" s="26"/>
      <c r="M15" s="28" t="s">
        <v>44</v>
      </c>
      <c r="N15" s="91">
        <f>N14/N13</f>
        <v>3.6475869809203143</v>
      </c>
    </row>
    <row r="16" spans="1:18" ht="16" x14ac:dyDescent="0.2">
      <c r="A16" s="27"/>
      <c r="B16" s="1"/>
      <c r="C16" s="50" t="s">
        <v>40</v>
      </c>
      <c r="D16" s="1"/>
      <c r="E16" s="1"/>
      <c r="F16" s="53">
        <f>(I8/(100000/B5))/1000</f>
        <v>58050</v>
      </c>
      <c r="G16" s="27"/>
      <c r="H16" s="27"/>
      <c r="I16" s="27"/>
      <c r="J16" s="27"/>
    </row>
    <row r="17" spans="1:14" ht="15" customHeight="1" x14ac:dyDescent="0.2">
      <c r="A17" s="1"/>
      <c r="B17" s="27"/>
      <c r="G17" s="27"/>
      <c r="H17" s="27"/>
      <c r="I17" s="27"/>
      <c r="J17" s="27"/>
      <c r="K17" s="228" t="s">
        <v>64</v>
      </c>
      <c r="L17" s="228"/>
      <c r="M17" s="228"/>
      <c r="N17" s="228"/>
    </row>
    <row r="18" spans="1:14" ht="15" customHeight="1" x14ac:dyDescent="0.2">
      <c r="G18" s="27"/>
      <c r="H18" s="27"/>
      <c r="I18" s="27"/>
      <c r="J18" s="232" t="s">
        <v>54</v>
      </c>
      <c r="K18" s="232"/>
      <c r="L18" s="232"/>
      <c r="M18" s="232"/>
      <c r="N18" s="92">
        <f>'Cost of Ownership'!Q12</f>
        <v>-15869.999999999998</v>
      </c>
    </row>
    <row r="19" spans="1:14" ht="18" customHeight="1" x14ac:dyDescent="0.2">
      <c r="A19" s="1"/>
      <c r="B19" s="1"/>
      <c r="C19" s="27"/>
      <c r="D19" s="27"/>
      <c r="E19" s="27"/>
      <c r="F19" s="27"/>
      <c r="G19" s="27"/>
      <c r="H19" s="27"/>
      <c r="I19" s="27"/>
      <c r="J19" s="232" t="s">
        <v>56</v>
      </c>
      <c r="K19" s="232"/>
      <c r="L19" s="232"/>
      <c r="M19" s="232"/>
      <c r="N19" s="92">
        <f>'Cost of Ownership'!W12</f>
        <v>-4145</v>
      </c>
    </row>
    <row r="20" spans="1:14" ht="18" customHeight="1" x14ac:dyDescent="0.2">
      <c r="A20" s="1"/>
      <c r="B20" s="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4" t="s">
        <v>61</v>
      </c>
      <c r="N20" s="89">
        <f>N19-N18</f>
        <v>11724.999999999998</v>
      </c>
    </row>
    <row r="21" spans="1:14" ht="15" customHeight="1" x14ac:dyDescent="0.2">
      <c r="A21" s="80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7"/>
    </row>
    <row r="22" spans="1:14" ht="15" customHeight="1" x14ac:dyDescent="0.2">
      <c r="A22" s="81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7"/>
    </row>
    <row r="23" spans="1:14" ht="14.25" customHeight="1" x14ac:dyDescent="0.25">
      <c r="A23" s="81"/>
      <c r="B23" s="70"/>
      <c r="C23" s="26"/>
      <c r="D23" s="26"/>
      <c r="E23" s="26"/>
      <c r="F23" s="26"/>
      <c r="G23" s="26"/>
      <c r="H23" s="26"/>
      <c r="I23" s="26"/>
      <c r="J23" s="26"/>
      <c r="K23" s="26"/>
      <c r="L23" s="29"/>
      <c r="M23" s="19"/>
      <c r="N23" s="19"/>
    </row>
    <row r="24" spans="1:14" ht="16" x14ac:dyDescent="0.2">
      <c r="A24" s="8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">
      <c r="A25" s="8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ht="16" x14ac:dyDescent="0.2">
      <c r="A26" s="2"/>
    </row>
  </sheetData>
  <mergeCells count="6">
    <mergeCell ref="A13:F13"/>
    <mergeCell ref="J6:N6"/>
    <mergeCell ref="K10:N10"/>
    <mergeCell ref="J19:M19"/>
    <mergeCell ref="K17:N17"/>
    <mergeCell ref="J18:M18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C2"/>
    </sheetView>
  </sheetViews>
  <sheetFormatPr baseColWidth="10" defaultColWidth="9.1640625" defaultRowHeight="15" x14ac:dyDescent="0.2"/>
  <cols>
    <col min="1" max="1" width="30" style="33" customWidth="1"/>
    <col min="2" max="2" width="12" style="33" customWidth="1"/>
    <col min="3" max="3" width="12.5" style="33" customWidth="1"/>
    <col min="4" max="4" width="9.1640625" style="33" customWidth="1"/>
    <col min="5" max="5" width="10.5" style="33" customWidth="1"/>
    <col min="6" max="6" width="9.1640625" style="33" customWidth="1"/>
    <col min="7" max="7" width="1.1640625" style="33" customWidth="1"/>
    <col min="8" max="8" width="11.5" style="33" bestFit="1" customWidth="1"/>
    <col min="9" max="9" width="10.5" style="33" customWidth="1"/>
    <col min="10" max="10" width="10.33203125" style="33" customWidth="1"/>
    <col min="11" max="11" width="2.5" style="33" customWidth="1"/>
    <col min="12" max="12" width="11" style="33" customWidth="1"/>
    <col min="13" max="13" width="12.5" style="33" customWidth="1"/>
    <col min="14" max="14" width="0.83203125" style="33" customWidth="1"/>
    <col min="15" max="15" width="9.1640625" style="33" customWidth="1"/>
    <col min="16" max="16" width="9.1640625" style="33"/>
    <col min="17" max="17" width="18" style="33" customWidth="1"/>
    <col min="18" max="18" width="13.6640625" style="33" customWidth="1"/>
    <col min="19" max="19" width="10.5" style="33" customWidth="1"/>
    <col min="20" max="20" width="1" style="33" customWidth="1"/>
    <col min="21" max="21" width="9.1640625" style="33" customWidth="1"/>
    <col min="22" max="22" width="9.1640625" style="33"/>
    <col min="23" max="23" width="17.5" style="33" customWidth="1"/>
    <col min="24" max="24" width="13" style="33" customWidth="1"/>
    <col min="25" max="25" width="9.1640625" style="33" customWidth="1"/>
    <col min="26" max="16384" width="9.1640625" style="33"/>
  </cols>
  <sheetData>
    <row r="1" spans="1:25" ht="21" x14ac:dyDescent="0.25">
      <c r="A1" s="145" t="s">
        <v>38</v>
      </c>
      <c r="P1" s="146" t="s">
        <v>0</v>
      </c>
      <c r="Q1" s="147">
        <f>'Savings Detail'!B3</f>
        <v>0.1</v>
      </c>
    </row>
    <row r="2" spans="1:25" ht="18" x14ac:dyDescent="0.2">
      <c r="A2" s="233"/>
      <c r="B2" s="233"/>
      <c r="C2" s="233"/>
      <c r="P2" s="146" t="s">
        <v>2</v>
      </c>
      <c r="Q2" s="49">
        <f>'Savings Detail'!B4</f>
        <v>150</v>
      </c>
    </row>
    <row r="3" spans="1:25" ht="16" thickBot="1" x14ac:dyDescent="0.25">
      <c r="P3" s="146" t="s">
        <v>62</v>
      </c>
      <c r="Q3" s="148">
        <f>'Savings Detail'!B5</f>
        <v>4300</v>
      </c>
      <c r="S3" s="33" t="s">
        <v>52</v>
      </c>
    </row>
    <row r="4" spans="1:25" ht="16" thickBot="1" x14ac:dyDescent="0.25">
      <c r="G4" s="146"/>
      <c r="H4" s="49"/>
      <c r="O4" s="234" t="s">
        <v>49</v>
      </c>
      <c r="P4" s="235"/>
      <c r="Q4" s="235"/>
      <c r="R4" s="236"/>
      <c r="S4" s="103"/>
      <c r="U4" s="234" t="s">
        <v>50</v>
      </c>
      <c r="V4" s="235"/>
      <c r="W4" s="235"/>
      <c r="X4" s="236"/>
    </row>
    <row r="5" spans="1:25" ht="16" thickBot="1" x14ac:dyDescent="0.25">
      <c r="H5" s="234" t="s">
        <v>45</v>
      </c>
      <c r="I5" s="235"/>
      <c r="J5" s="235"/>
      <c r="K5" s="235"/>
      <c r="L5" s="235"/>
      <c r="M5" s="236"/>
      <c r="O5" s="238" t="s">
        <v>53</v>
      </c>
      <c r="P5" s="239"/>
      <c r="Q5" s="239"/>
      <c r="R5" s="240"/>
      <c r="S5" s="103"/>
      <c r="U5" s="238" t="s">
        <v>53</v>
      </c>
      <c r="V5" s="239"/>
      <c r="W5" s="239"/>
      <c r="X5" s="240"/>
    </row>
    <row r="6" spans="1:25" s="62" customFormat="1" ht="45" x14ac:dyDescent="0.2">
      <c r="A6" s="149" t="s">
        <v>30</v>
      </c>
      <c r="B6" s="150" t="s">
        <v>63</v>
      </c>
      <c r="C6" s="150" t="s">
        <v>36</v>
      </c>
      <c r="D6" s="150" t="s">
        <v>31</v>
      </c>
      <c r="E6" s="150" t="s">
        <v>32</v>
      </c>
      <c r="F6" s="151" t="s">
        <v>33</v>
      </c>
      <c r="H6" s="152" t="s">
        <v>34</v>
      </c>
      <c r="I6" s="153" t="s">
        <v>37</v>
      </c>
      <c r="J6" s="153" t="s">
        <v>35</v>
      </c>
      <c r="K6" s="153"/>
      <c r="L6" s="154" t="s">
        <v>41</v>
      </c>
      <c r="M6" s="155" t="s">
        <v>42</v>
      </c>
      <c r="O6" s="152" t="s">
        <v>60</v>
      </c>
      <c r="P6" s="153" t="s">
        <v>46</v>
      </c>
      <c r="Q6" s="153" t="s">
        <v>47</v>
      </c>
      <c r="R6" s="155" t="s">
        <v>51</v>
      </c>
      <c r="S6" s="156"/>
      <c r="U6" s="157" t="s">
        <v>60</v>
      </c>
      <c r="V6" s="156" t="s">
        <v>46</v>
      </c>
      <c r="W6" s="156" t="s">
        <v>47</v>
      </c>
      <c r="X6" s="158" t="s">
        <v>51</v>
      </c>
    </row>
    <row r="7" spans="1:25" x14ac:dyDescent="0.2">
      <c r="A7" s="36" t="s">
        <v>113</v>
      </c>
      <c r="B7" s="37">
        <f>'1. Fixture Inputs'!J24</f>
        <v>800</v>
      </c>
      <c r="C7" s="37">
        <f>'1. Fixture Inputs'!J3</f>
        <v>30</v>
      </c>
      <c r="D7" s="214">
        <f>'1. Fixture Inputs'!D24</f>
        <v>190</v>
      </c>
      <c r="E7" s="55">
        <f>'1. Fixture Inputs'!F24</f>
        <v>17200</v>
      </c>
      <c r="F7" s="45">
        <f>E7/Q3</f>
        <v>4</v>
      </c>
      <c r="G7" s="41"/>
      <c r="H7" s="47">
        <f>(((D7*$Q$3)/1000)*$Q$1)</f>
        <v>81.7</v>
      </c>
      <c r="I7" s="39">
        <f>H7*25</f>
        <v>2042.5</v>
      </c>
      <c r="J7" s="39">
        <f>((25/F7)*($Q$2+C7)+B7)/25</f>
        <v>77</v>
      </c>
      <c r="K7" s="39"/>
      <c r="L7" s="34">
        <f>J7+H7</f>
        <v>158.69999999999999</v>
      </c>
      <c r="M7" s="59">
        <f>L7*25</f>
        <v>3967.4999999999995</v>
      </c>
      <c r="O7" s="60">
        <f>'Savings Detail'!B8</f>
        <v>0</v>
      </c>
      <c r="P7" s="67">
        <f t="shared" ref="P7" si="0">O7*12</f>
        <v>0</v>
      </c>
      <c r="Q7" s="67">
        <f>P7-L7</f>
        <v>-158.69999999999999</v>
      </c>
      <c r="R7" s="61">
        <f>B7/Q7</f>
        <v>-5.0409577819785767</v>
      </c>
      <c r="S7" s="66">
        <f>'Savings Detail'!C8</f>
        <v>100</v>
      </c>
      <c r="U7" s="60" t="s">
        <v>48</v>
      </c>
      <c r="V7" s="67" t="s">
        <v>48</v>
      </c>
      <c r="W7" s="67" t="s">
        <v>48</v>
      </c>
      <c r="X7" s="61" t="s">
        <v>48</v>
      </c>
    </row>
    <row r="8" spans="1:25" ht="6.75" customHeight="1" x14ac:dyDescent="0.2">
      <c r="A8" s="38"/>
      <c r="B8" s="39"/>
      <c r="C8" s="39"/>
      <c r="D8" s="40"/>
      <c r="E8" s="56"/>
      <c r="F8" s="41"/>
      <c r="G8" s="41"/>
      <c r="H8" s="47"/>
      <c r="I8" s="39"/>
      <c r="J8" s="39"/>
      <c r="K8" s="39"/>
      <c r="L8" s="34"/>
      <c r="M8" s="59"/>
      <c r="O8" s="60"/>
      <c r="P8" s="40"/>
      <c r="Q8" s="40"/>
      <c r="R8" s="61"/>
      <c r="S8" s="66"/>
      <c r="U8" s="60"/>
      <c r="V8" s="40"/>
      <c r="W8" s="40"/>
      <c r="X8" s="61"/>
    </row>
    <row r="9" spans="1:25" ht="14.5" customHeight="1" thickBot="1" x14ac:dyDescent="0.25">
      <c r="A9" s="97" t="s">
        <v>114</v>
      </c>
      <c r="B9" s="37">
        <f>'1. Fixture Inputs'!U25/'1. Fixture Inputs'!L24</f>
        <v>325</v>
      </c>
      <c r="C9" s="77" t="s">
        <v>48</v>
      </c>
      <c r="D9" s="214">
        <f>'1. Fixture Inputs'!N24</f>
        <v>55</v>
      </c>
      <c r="E9" s="55">
        <f>'1. Fixture Inputs'!P24</f>
        <v>100000</v>
      </c>
      <c r="F9" s="45">
        <f>E9/Q3</f>
        <v>23.255813953488371</v>
      </c>
      <c r="G9" s="41"/>
      <c r="H9" s="163">
        <f>((D9*4)*$Q$1)</f>
        <v>22</v>
      </c>
      <c r="I9" s="164">
        <f t="shared" ref="I9" si="1">H9*25</f>
        <v>550</v>
      </c>
      <c r="J9" s="164">
        <f>((25/F9)*($Q$2)+B9)/25</f>
        <v>19.45</v>
      </c>
      <c r="K9" s="164"/>
      <c r="L9" s="165">
        <f>J9+H9</f>
        <v>41.45</v>
      </c>
      <c r="M9" s="166">
        <f>L9*25</f>
        <v>1036.25</v>
      </c>
      <c r="O9" s="167" t="s">
        <v>48</v>
      </c>
      <c r="P9" s="168" t="s">
        <v>48</v>
      </c>
      <c r="Q9" s="168" t="s">
        <v>48</v>
      </c>
      <c r="R9" s="169" t="s">
        <v>48</v>
      </c>
      <c r="S9" s="66"/>
      <c r="U9" s="167">
        <f>'1. Fixture Inputs'!R24</f>
        <v>0</v>
      </c>
      <c r="V9" s="168">
        <f>U9*12</f>
        <v>0</v>
      </c>
      <c r="W9" s="168">
        <f>V9-L9</f>
        <v>-41.45</v>
      </c>
      <c r="X9" s="169">
        <f>B9/W9</f>
        <v>-7.8407720144752711</v>
      </c>
      <c r="Y9" s="33">
        <f>'Savings Detail'!C8</f>
        <v>100</v>
      </c>
    </row>
    <row r="10" spans="1:25" ht="16" hidden="1" thickBot="1" x14ac:dyDescent="0.25">
      <c r="A10" s="42" t="s">
        <v>58</v>
      </c>
      <c r="B10" s="43">
        <v>200</v>
      </c>
      <c r="C10" s="43">
        <v>0</v>
      </c>
      <c r="D10" s="44">
        <v>44</v>
      </c>
      <c r="E10" s="57">
        <v>50000</v>
      </c>
      <c r="F10" s="46">
        <f>E10/4000</f>
        <v>12.5</v>
      </c>
      <c r="G10" s="159"/>
      <c r="H10" s="63">
        <f>((D10*4)*$Q$1)</f>
        <v>17.600000000000001</v>
      </c>
      <c r="I10" s="48">
        <f t="shared" ref="I10" si="2">H10*25</f>
        <v>440.00000000000006</v>
      </c>
      <c r="J10" s="48">
        <f>((25/F10)*($Q$2+C10)+B10)/25</f>
        <v>20</v>
      </c>
      <c r="K10" s="48"/>
      <c r="L10" s="35">
        <f>J10+H10</f>
        <v>37.6</v>
      </c>
      <c r="M10" s="64">
        <f>L10*25</f>
        <v>940</v>
      </c>
      <c r="O10" s="74" t="s">
        <v>48</v>
      </c>
      <c r="P10" s="75" t="s">
        <v>48</v>
      </c>
      <c r="Q10" s="75" t="s">
        <v>48</v>
      </c>
      <c r="R10" s="76" t="s">
        <v>48</v>
      </c>
      <c r="S10" s="66"/>
      <c r="U10" s="74">
        <v>7.32</v>
      </c>
      <c r="V10" s="75">
        <f>U10*12</f>
        <v>87.84</v>
      </c>
      <c r="W10" s="75">
        <f>V10-L10</f>
        <v>50.24</v>
      </c>
      <c r="X10" s="76">
        <f>B10/W10</f>
        <v>3.9808917197452227</v>
      </c>
    </row>
    <row r="11" spans="1:25" x14ac:dyDescent="0.2">
      <c r="A11" s="38"/>
    </row>
    <row r="12" spans="1:25" ht="35.25" customHeight="1" x14ac:dyDescent="0.2">
      <c r="O12" s="237" t="s">
        <v>54</v>
      </c>
      <c r="P12" s="237"/>
      <c r="Q12" s="160">
        <f>(Q7*S7)</f>
        <v>-15869.999999999998</v>
      </c>
      <c r="R12" s="161"/>
      <c r="S12" s="68"/>
      <c r="T12" s="68"/>
      <c r="U12" s="237" t="s">
        <v>55</v>
      </c>
      <c r="V12" s="237"/>
      <c r="W12" s="160">
        <f>(W9*Y9)</f>
        <v>-4145</v>
      </c>
    </row>
    <row r="13" spans="1:25" x14ac:dyDescent="0.2">
      <c r="B13" s="18"/>
      <c r="C13" s="18"/>
      <c r="F13" s="162"/>
      <c r="G13" s="162"/>
      <c r="H13" s="18"/>
      <c r="I13" s="18"/>
      <c r="J13" s="18"/>
      <c r="K13" s="18"/>
      <c r="L13" s="18"/>
      <c r="M13" s="18"/>
    </row>
    <row r="14" spans="1:25" x14ac:dyDescent="0.2">
      <c r="B14" s="18"/>
      <c r="C14" s="18"/>
      <c r="F14" s="162"/>
      <c r="G14" s="162"/>
      <c r="H14" s="18"/>
      <c r="I14" s="18"/>
      <c r="J14" s="18"/>
      <c r="K14" s="18"/>
      <c r="L14" s="18"/>
      <c r="M14" s="18"/>
    </row>
    <row r="15" spans="1:25" x14ac:dyDescent="0.2">
      <c r="B15" s="18"/>
      <c r="C15" s="18"/>
      <c r="F15" s="162"/>
      <c r="G15" s="162"/>
      <c r="H15" s="18"/>
      <c r="I15" s="18"/>
      <c r="J15" s="18"/>
      <c r="K15" s="18"/>
      <c r="L15" s="18"/>
      <c r="M15" s="18"/>
    </row>
    <row r="16" spans="1:25" x14ac:dyDescent="0.2">
      <c r="B16" s="18"/>
      <c r="C16" s="18"/>
      <c r="F16" s="162"/>
      <c r="G16" s="162"/>
      <c r="H16" s="162"/>
      <c r="I16" s="162"/>
      <c r="J16" s="162"/>
      <c r="K16" s="162"/>
      <c r="L16" s="162"/>
    </row>
    <row r="17" spans="2:3" x14ac:dyDescent="0.2">
      <c r="B17" s="18"/>
      <c r="C17" s="18"/>
    </row>
    <row r="18" spans="2:3" x14ac:dyDescent="0.2">
      <c r="B18" s="18"/>
      <c r="C18" s="18"/>
    </row>
    <row r="19" spans="2:3" x14ac:dyDescent="0.2">
      <c r="B19" s="18"/>
      <c r="C19" s="18"/>
    </row>
  </sheetData>
  <mergeCells count="8">
    <mergeCell ref="A2:C2"/>
    <mergeCell ref="O4:R4"/>
    <mergeCell ref="U4:X4"/>
    <mergeCell ref="O12:P12"/>
    <mergeCell ref="U12:V12"/>
    <mergeCell ref="H5:M5"/>
    <mergeCell ref="O5:R5"/>
    <mergeCell ref="U5:X5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71.83203125" customWidth="1"/>
    <col min="2" max="2" width="21.33203125" customWidth="1"/>
    <col min="3" max="3" width="20.33203125" customWidth="1"/>
  </cols>
  <sheetData>
    <row r="1" spans="1:3" ht="18" x14ac:dyDescent="0.2">
      <c r="A1" s="3" t="s">
        <v>14</v>
      </c>
      <c r="B1" s="4"/>
      <c r="C1" s="5"/>
    </row>
    <row r="2" spans="1:3" ht="16" x14ac:dyDescent="0.2">
      <c r="A2" s="6" t="s">
        <v>15</v>
      </c>
      <c r="B2" s="7"/>
      <c r="C2" s="8"/>
    </row>
    <row r="3" spans="1:3" ht="16" x14ac:dyDescent="0.2">
      <c r="A3" s="9"/>
      <c r="B3" s="7"/>
      <c r="C3" s="8"/>
    </row>
    <row r="4" spans="1:3" ht="16" x14ac:dyDescent="0.2">
      <c r="A4" s="10" t="s">
        <v>16</v>
      </c>
      <c r="B4" s="11">
        <f>'Savings Detail'!I8/1000</f>
        <v>1350000</v>
      </c>
      <c r="C4" s="8"/>
    </row>
    <row r="5" spans="1:3" ht="16" x14ac:dyDescent="0.2">
      <c r="A5" s="12" t="s">
        <v>17</v>
      </c>
      <c r="B5" s="13"/>
      <c r="C5" s="14">
        <f>B4*1.535</f>
        <v>2072250</v>
      </c>
    </row>
    <row r="6" spans="1:3" ht="16" x14ac:dyDescent="0.2">
      <c r="A6" s="12" t="s">
        <v>18</v>
      </c>
      <c r="B6" s="13"/>
      <c r="C6" s="14">
        <f>B4*0.002103</f>
        <v>2839.0499999999997</v>
      </c>
    </row>
    <row r="7" spans="1:3" ht="16" x14ac:dyDescent="0.2">
      <c r="A7" s="12" t="s">
        <v>19</v>
      </c>
      <c r="B7" s="13"/>
      <c r="C7" s="14">
        <f>B4*0.005436</f>
        <v>7338.5999999999995</v>
      </c>
    </row>
    <row r="8" spans="1:3" ht="16" x14ac:dyDescent="0.2">
      <c r="A8" s="12" t="s">
        <v>20</v>
      </c>
      <c r="B8" s="13"/>
      <c r="C8" s="14">
        <f>B4*0.000126</f>
        <v>170.1</v>
      </c>
    </row>
    <row r="9" spans="1:3" ht="16" x14ac:dyDescent="0.2">
      <c r="A9" s="12" t="s">
        <v>21</v>
      </c>
      <c r="B9" s="13"/>
      <c r="C9" s="14">
        <f>B4*0.000072</f>
        <v>97.2</v>
      </c>
    </row>
    <row r="10" spans="1:3" ht="16" x14ac:dyDescent="0.2">
      <c r="A10" s="12" t="s">
        <v>22</v>
      </c>
      <c r="B10" s="13"/>
      <c r="C10" s="14">
        <f>B4*0.000031</f>
        <v>41.85</v>
      </c>
    </row>
    <row r="11" spans="1:3" ht="16" x14ac:dyDescent="0.2">
      <c r="A11" s="12" t="s">
        <v>23</v>
      </c>
      <c r="B11" s="13"/>
      <c r="C11" s="14">
        <f>B4*0.000248</f>
        <v>334.8</v>
      </c>
    </row>
    <row r="12" spans="1:3" ht="16" x14ac:dyDescent="0.2">
      <c r="A12" s="15" t="s">
        <v>43</v>
      </c>
      <c r="B12" s="16"/>
      <c r="C12" s="17">
        <f>B4/11560/25</f>
        <v>4.6712802768166091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Fixture Inputs</vt:lpstr>
      <vt:lpstr>2. Proposal</vt:lpstr>
      <vt:lpstr>Savings Detail</vt:lpstr>
      <vt:lpstr>Cost of Ownership</vt:lpstr>
      <vt:lpstr>Environmental</vt:lpstr>
    </vt:vector>
  </TitlesOfParts>
  <Company>OSRAM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teroller</dc:creator>
  <cp:lastModifiedBy>kate Vanderploeg</cp:lastModifiedBy>
  <cp:lastPrinted>2016-07-31T21:16:48Z</cp:lastPrinted>
  <dcterms:created xsi:type="dcterms:W3CDTF">2012-12-07T01:50:58Z</dcterms:created>
  <dcterms:modified xsi:type="dcterms:W3CDTF">2018-12-13T14:39:49Z</dcterms:modified>
</cp:coreProperties>
</file>